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7740"/>
  </bookViews>
  <sheets>
    <sheet name="июль" sheetId="8" r:id="rId1"/>
  </sheets>
  <definedNames>
    <definedName name="_xlnm._FilterDatabase" localSheetId="0" hidden="1">июль!$A$15:$V$116</definedName>
    <definedName name="Резьба_Ду_15">июль!$P$51</definedName>
  </definedNames>
  <calcPr calcId="145621"/>
</workbook>
</file>

<file path=xl/calcChain.xml><?xml version="1.0" encoding="utf-8"?>
<calcChain xmlns="http://schemas.openxmlformats.org/spreadsheetml/2006/main">
  <c r="T114" i="8" l="1"/>
  <c r="Q113" i="8"/>
  <c r="S113" i="8"/>
  <c r="T113" i="8"/>
  <c r="Q116" i="8"/>
  <c r="T116" i="8"/>
  <c r="Q110" i="8"/>
  <c r="Q111" i="8"/>
  <c r="Q112" i="8"/>
  <c r="T112" i="8"/>
  <c r="Q115" i="8"/>
  <c r="T115" i="8"/>
  <c r="T21" i="8" l="1"/>
  <c r="Q21" i="8" s="1"/>
  <c r="T20" i="8"/>
  <c r="T19" i="8"/>
  <c r="Q19" i="8" s="1"/>
  <c r="T18" i="8"/>
  <c r="T17" i="8"/>
  <c r="T16" i="8"/>
  <c r="Q16" i="8" s="1"/>
  <c r="Q20" i="8"/>
  <c r="T44" i="8"/>
  <c r="Q44" i="8" s="1"/>
  <c r="T43" i="8"/>
  <c r="Q43" i="8" s="1"/>
  <c r="T42" i="8"/>
  <c r="Q42" i="8" s="1"/>
  <c r="T41" i="8"/>
  <c r="Q41" i="8" s="1"/>
  <c r="T40" i="8"/>
  <c r="Q40" i="8" s="1"/>
  <c r="T39" i="8"/>
  <c r="T38" i="8"/>
  <c r="Q38" i="8" s="1"/>
  <c r="Q37" i="8"/>
  <c r="Q39" i="8"/>
  <c r="Q17" i="8"/>
  <c r="Q18" i="8"/>
  <c r="T37" i="8"/>
  <c r="T36" i="8"/>
  <c r="Q36" i="8" s="1"/>
  <c r="T35" i="8"/>
  <c r="Q35" i="8" s="1"/>
  <c r="T34" i="8"/>
  <c r="T33" i="8"/>
  <c r="T32" i="8"/>
  <c r="Q32" i="8" s="1"/>
  <c r="T31" i="8"/>
  <c r="Q31" i="8" s="1"/>
  <c r="T30" i="8"/>
  <c r="Q30" i="8" s="1"/>
  <c r="T29" i="8"/>
  <c r="T28" i="8"/>
  <c r="Q28" i="8" s="1"/>
  <c r="T27" i="8"/>
  <c r="Q27" i="8" s="1"/>
  <c r="T26" i="8"/>
  <c r="Q26" i="8" s="1"/>
  <c r="T25" i="8"/>
  <c r="Q25" i="8" s="1"/>
  <c r="T24" i="8"/>
  <c r="Q24" i="8" s="1"/>
  <c r="T23" i="8"/>
  <c r="Q23" i="8" s="1"/>
  <c r="T22" i="8"/>
  <c r="Q29" i="8"/>
  <c r="Q33" i="8"/>
  <c r="Q34" i="8"/>
  <c r="T48" i="8"/>
  <c r="Q48" i="8" s="1"/>
  <c r="T47" i="8"/>
  <c r="Q47" i="8" s="1"/>
  <c r="Q22" i="8"/>
  <c r="T46" i="8"/>
  <c r="Q46" i="8" s="1"/>
  <c r="T45" i="8"/>
  <c r="Q45" i="8" s="1"/>
  <c r="T51" i="8"/>
  <c r="Q51" i="8" s="1"/>
  <c r="T50" i="8"/>
  <c r="Q50" i="8" s="1"/>
  <c r="T49" i="8"/>
  <c r="Q49" i="8" s="1"/>
  <c r="T52" i="8"/>
  <c r="Q52" i="8" s="1"/>
  <c r="T74" i="8"/>
  <c r="Q74" i="8" s="1"/>
  <c r="T73" i="8"/>
  <c r="Q73" i="8" s="1"/>
  <c r="T72" i="8"/>
  <c r="Q72" i="8" s="1"/>
  <c r="T71" i="8"/>
  <c r="Q71" i="8" s="1"/>
  <c r="T70" i="8"/>
  <c r="Q70" i="8" s="1"/>
  <c r="T69" i="8"/>
  <c r="Q69" i="8" s="1"/>
  <c r="T68" i="8"/>
  <c r="Q68" i="8" s="1"/>
  <c r="T67" i="8"/>
  <c r="Q67" i="8" s="1"/>
  <c r="T66" i="8"/>
  <c r="Q66" i="8" s="1"/>
  <c r="T65" i="8"/>
  <c r="Q65" i="8" s="1"/>
  <c r="T64" i="8"/>
  <c r="Q64" i="8" s="1"/>
  <c r="T63" i="8"/>
  <c r="Q63" i="8" s="1"/>
  <c r="T62" i="8"/>
  <c r="Q62" i="8" s="1"/>
  <c r="T61" i="8"/>
  <c r="Q61" i="8" s="1"/>
  <c r="T60" i="8"/>
  <c r="Q60" i="8" s="1"/>
  <c r="T59" i="8"/>
  <c r="Q59" i="8" s="1"/>
  <c r="T58" i="8"/>
  <c r="Q58" i="8" s="1"/>
  <c r="T57" i="8"/>
  <c r="Q57" i="8" s="1"/>
  <c r="T56" i="8"/>
  <c r="Q56" i="8" s="1"/>
  <c r="T55" i="8"/>
  <c r="Q55" i="8" s="1"/>
  <c r="T54" i="8"/>
  <c r="Q54" i="8" s="1"/>
  <c r="T53" i="8"/>
  <c r="Q53" i="8" s="1"/>
  <c r="T76" i="8"/>
  <c r="Q76" i="8" s="1"/>
  <c r="T75" i="8"/>
  <c r="Q75" i="8" s="1"/>
  <c r="T78" i="8"/>
  <c r="Q78" i="8" s="1"/>
  <c r="T77" i="8"/>
  <c r="Q77" i="8" s="1"/>
  <c r="T86" i="8" l="1"/>
  <c r="T94" i="8"/>
  <c r="T93" i="8"/>
  <c r="T92" i="8"/>
  <c r="T91" i="8"/>
  <c r="Q91" i="8" s="1"/>
  <c r="T90" i="8"/>
  <c r="T89" i="8"/>
  <c r="T88" i="8"/>
  <c r="T87" i="8"/>
  <c r="T85" i="8"/>
  <c r="T84" i="8"/>
  <c r="T83" i="8"/>
  <c r="T82" i="8"/>
  <c r="T81" i="8"/>
  <c r="T80" i="8"/>
  <c r="T79" i="8" l="1"/>
  <c r="Q79" i="8" s="1"/>
  <c r="Q80" i="8"/>
  <c r="Q81" i="8"/>
  <c r="Q82" i="8"/>
  <c r="Q83" i="8"/>
  <c r="Q84" i="8"/>
  <c r="Q85" i="8"/>
  <c r="Q86" i="8"/>
  <c r="Q87" i="8"/>
  <c r="Q88" i="8"/>
  <c r="Q89" i="8"/>
  <c r="Q90" i="8"/>
  <c r="Q92" i="8"/>
  <c r="Q93" i="8"/>
  <c r="Q94" i="8"/>
  <c r="T97" i="8"/>
  <c r="Q97" i="8" s="1"/>
  <c r="T96" i="8"/>
  <c r="Q96" i="8" s="1"/>
  <c r="T95" i="8"/>
  <c r="Q95" i="8" s="1"/>
  <c r="T99" i="8"/>
  <c r="Q99" i="8" s="1"/>
  <c r="T98" i="8"/>
  <c r="Q98" i="8" s="1"/>
  <c r="T100" i="8"/>
  <c r="Q100" i="8" s="1"/>
  <c r="T111" i="8"/>
  <c r="T110" i="8"/>
  <c r="T109" i="8"/>
  <c r="T108" i="8"/>
  <c r="Q108" i="8" s="1"/>
  <c r="T107" i="8"/>
  <c r="Q107" i="8" s="1"/>
  <c r="T106" i="8"/>
  <c r="Q106" i="8" s="1"/>
  <c r="T105" i="8"/>
  <c r="Q105" i="8" s="1"/>
  <c r="T104" i="8"/>
  <c r="Q104" i="8" s="1"/>
  <c r="T103" i="8"/>
  <c r="T102" i="8"/>
  <c r="T101" i="8"/>
  <c r="Q101" i="8"/>
</calcChain>
</file>

<file path=xl/sharedStrings.xml><?xml version="1.0" encoding="utf-8"?>
<sst xmlns="http://schemas.openxmlformats.org/spreadsheetml/2006/main" count="553" uniqueCount="155">
  <si>
    <t>Приложение №10</t>
  </si>
  <si>
    <t>к приказу ФАС России</t>
  </si>
  <si>
    <t>от 18.01.2019 №38/19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</si>
  <si>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
</t>
    </r>
    <r>
      <rPr>
        <b/>
        <sz val="14"/>
        <rFont val="Times New Roman"/>
        <family val="1"/>
        <charset val="204"/>
      </rPr>
      <t>ООО "Стимул"</t>
    </r>
  </si>
  <si>
    <t>№</t>
  </si>
  <si>
    <t>Дата закупки  (Поступление товаров и услуг:Дата документа)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</si>
  <si>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</si>
  <si>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</si>
  <si>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</si>
  <si>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</si>
  <si>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</si>
  <si>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</si>
  <si>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</si>
  <si>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</si>
  <si>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</si>
  <si>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</si>
  <si>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</si>
  <si>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</si>
  <si>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</si>
  <si>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</si>
  <si>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</si>
  <si>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</si>
  <si>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</si>
  <si>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</si>
  <si>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</si>
  <si>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</si>
  <si>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</si>
  <si>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</si>
  <si>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</si>
  <si>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</si>
  <si>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</si>
  <si>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</si>
  <si>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</si>
  <si>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</si>
  <si>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Да </t>
  </si>
  <si>
    <t>мес.</t>
  </si>
  <si>
    <t>ПАО "ВымпелКом"</t>
  </si>
  <si>
    <t>­</t>
  </si>
  <si>
    <t>ООО "Бегет"</t>
  </si>
  <si>
    <t>ПАО "Мегафон"</t>
  </si>
  <si>
    <t>ПАО "Ростелеком"</t>
  </si>
  <si>
    <t>услуга</t>
  </si>
  <si>
    <t>ООО "Кассы и весы"</t>
  </si>
  <si>
    <t>ООО "Импульс"</t>
  </si>
  <si>
    <t>шт.</t>
  </si>
  <si>
    <t>Аренда (СанТехПрибор)</t>
  </si>
  <si>
    <t>ООО "СанТехПрибор"</t>
  </si>
  <si>
    <t>Оказание сервисных услуг</t>
  </si>
  <si>
    <t>л</t>
  </si>
  <si>
    <t>Канцелярские товары</t>
  </si>
  <si>
    <t xml:space="preserve">Услуги связи, интернет </t>
  </si>
  <si>
    <t>ООО "Газпромнефть-Корпоративные продажи"</t>
  </si>
  <si>
    <t>ООО "Сибирская Газовая  Компания"</t>
  </si>
  <si>
    <t>Тех.обсл.(касса)</t>
  </si>
  <si>
    <t>Бензин Регуляр-92</t>
  </si>
  <si>
    <t>Хостинг по аккаунту stimulnsk</t>
  </si>
  <si>
    <t>КТЗ-001-25-00 в/н СГК</t>
  </si>
  <si>
    <t>Фильтр ГП-Ду25</t>
  </si>
  <si>
    <t>ООО ТД "СИБКОМПЛЕКТ</t>
  </si>
  <si>
    <t>Седелка 0063*0032 мм ПЭ 100 SDR 11 эл/св.</t>
  </si>
  <si>
    <t>Седелка 0110*0032 мм ПЭ 100 SDR 11 эл/св.</t>
  </si>
  <si>
    <t>Седелка 0090*0032 мм ПЭ 100 SDR 11 эл/св.</t>
  </si>
  <si>
    <t>Шуруп-шпилька 8*200мм 0120-80-200</t>
  </si>
  <si>
    <t>Аренда зем.участков (Импульс)</t>
  </si>
  <si>
    <t>Резьба Ду-25</t>
  </si>
  <si>
    <t xml:space="preserve">Контрагайка d25 стальная </t>
  </si>
  <si>
    <t>Муфта стальная d25</t>
  </si>
  <si>
    <t>Сгон Ду-25</t>
  </si>
  <si>
    <t>Резьба Ду-20</t>
  </si>
  <si>
    <t>Резьба Ду-15</t>
  </si>
  <si>
    <t>Бочонок 25</t>
  </si>
  <si>
    <t>Комплект: хомут+шпилька шуруп+дюбель пластиковый PCSET 1" BF</t>
  </si>
  <si>
    <t>Отвод (шовный) Ду-25</t>
  </si>
  <si>
    <t>Переход с Ду 25х3 на Ду 20х3</t>
  </si>
  <si>
    <t xml:space="preserve">Система автономного контроля загазованности DN 25 НД </t>
  </si>
  <si>
    <t>Кран-газ.11Б27n DN20 PN16 рычаг м-м БАЗ</t>
  </si>
  <si>
    <t>Кран-газ.11Б27n DN25 PN16 рычаг м-м БАЗ</t>
  </si>
  <si>
    <t>Счетчик газа СГД G4 1 1/4 (прав)</t>
  </si>
  <si>
    <t>Адаптер Ду 25 сварка, шестигр. Гайка (меш.) G4 1  1/4</t>
  </si>
  <si>
    <t>Июль 2020 г.</t>
  </si>
  <si>
    <t>Акт №К-020719/07-07 от 31.07.2020г.</t>
  </si>
  <si>
    <t>Водораздатчик-диспенсер "Aqua Work 36 TKN" белый, только нагрев</t>
  </si>
  <si>
    <t>ООО "Aqua Маркет"</t>
  </si>
  <si>
    <t>Сч-фактура № НсАН0000228 от 31.07.2020г.</t>
  </si>
  <si>
    <t>ООО "Камелия"</t>
  </si>
  <si>
    <t>Сч-фактура №1952 от 31.07.2020г.</t>
  </si>
  <si>
    <t>Фланец 100 З=16(отв.8), Россия</t>
  </si>
  <si>
    <t>Отвод d 108мм х 4 (ст20)</t>
  </si>
  <si>
    <t>Кран шаровый LD ст 20 Ру16 Фланцевый ДУ 100/80 ГАЗ</t>
  </si>
  <si>
    <t>Прокладка паронитовая d100</t>
  </si>
  <si>
    <t>Сч-фактура №640.00040756-2/01609 от 31.07.2020г.</t>
  </si>
  <si>
    <t>Сч-фактура №640.00059625-70/01609 от 31.07.2020г.</t>
  </si>
  <si>
    <t>Сч-фактура №640.00160694-1/01609 от 31.07.2020г.</t>
  </si>
  <si>
    <t>Газовый клапан U072_WBN6000</t>
  </si>
  <si>
    <t>ООО "Энерготехсервис"</t>
  </si>
  <si>
    <t>Т.н. № 335 от 29.07.2020</t>
  </si>
  <si>
    <t>1,00м 3/4 Г-Ш шланг сильф CS "OVERCON"</t>
  </si>
  <si>
    <t>Сч-фактура №1635 от 24.07.2020г.</t>
  </si>
  <si>
    <t>Изолирующее муфтовое соединение Ду 20 в/н</t>
  </si>
  <si>
    <t>Поверочная газовая смесь СО-воздух 0,052% балл. 4л</t>
  </si>
  <si>
    <t>ООО "ЧИСТЫЕ ГАЗЫ ПЛЮС"</t>
  </si>
  <si>
    <t>Сч-фактура №459 от 21.07.2020г.</t>
  </si>
  <si>
    <t>Поверочная газовая смесь СО-воздух 0,05% балл. 4л</t>
  </si>
  <si>
    <t>Аттестация баллона</t>
  </si>
  <si>
    <t>Сч-фактура №460 от 21.07.2020г.</t>
  </si>
  <si>
    <t>Счетчик газа СГД G4 1 1/4 (лев)</t>
  </si>
  <si>
    <t>Прокладка Ду 25 к G4 (1 1/4)</t>
  </si>
  <si>
    <t>1,50м 3/4 Г-Ш шланг сильф CS "OVERCON"</t>
  </si>
  <si>
    <t>Отвод (шовный) Ду-15</t>
  </si>
  <si>
    <t>Хомут металлорезиновый с дюбелем и шурупом 1" (32-36 мм)</t>
  </si>
  <si>
    <t>Электроды сварочные ОК-46.00 д 3,0мм (2,5 кг)</t>
  </si>
  <si>
    <t>Сч-фактура №1534 от 17.07.2020г.</t>
  </si>
  <si>
    <t>Сч-фактура № УТ-1514 от 14.07.2020г.</t>
  </si>
  <si>
    <t>Соединение неразъемное ПЭ/ст 0110х108мм ПЭ100 SDR11 ГАЗ</t>
  </si>
  <si>
    <t>Муфта 110 мм ПЭ 100 SDR 11 эл/св.</t>
  </si>
  <si>
    <t>Сч-фактура №1422 от 13.07.2020г.</t>
  </si>
  <si>
    <t>СЗ-1 (Сигнализатор загазованности природный)</t>
  </si>
  <si>
    <t>СЗ-2 (Сигнализатор загазованности оксидом углерода)</t>
  </si>
  <si>
    <t>Сч-фактура №1407 от 10.07.2020г.</t>
  </si>
  <si>
    <t>Кран-газ.11Б27n DN15 PN16 рычаг м-м БАЗ</t>
  </si>
  <si>
    <t>Лента ФУМ-I 0,10х15</t>
  </si>
  <si>
    <t>кг</t>
  </si>
  <si>
    <t>комп.</t>
  </si>
  <si>
    <t>Переход с Ду 32х3 на Ду 20х3</t>
  </si>
  <si>
    <t>Сч-фактура №100688867184 от 10.07.2020г.</t>
  </si>
  <si>
    <t>мес</t>
  </si>
  <si>
    <t>Муфта 032 мм ПЭ 100 SDR Xinda эл/св.</t>
  </si>
  <si>
    <t>Сч-фактура № EN-1425 от 08.07.2020г.</t>
  </si>
  <si>
    <t>Заглушка 0032 мм ПЭ100 SDR11</t>
  </si>
  <si>
    <t xml:space="preserve"> </t>
  </si>
  <si>
    <t>ПД100-ДИ0,1-111-0,5 (0,1 МПа) Датчик давления</t>
  </si>
  <si>
    <t>ООО Приборика"</t>
  </si>
  <si>
    <t>Сч-фактура № 6374 от 08.07.2020г.</t>
  </si>
  <si>
    <t>ООО "Альбом54"</t>
  </si>
  <si>
    <t>Сч-фактура № 2562 от 06.07.2020г.</t>
  </si>
  <si>
    <t>ООО "ПСП"</t>
  </si>
  <si>
    <t>Сч-фактура № 2403 от 06.07.2020г.</t>
  </si>
  <si>
    <t>Шаровой кран КНР d 063 Т-612494</t>
  </si>
  <si>
    <t>Монтажный набор дляПЭ крана 32-50 (PSP ) 1,2-2,00</t>
  </si>
  <si>
    <t>Сч-фактура № УТ-1375 от 06.07.2020г.</t>
  </si>
  <si>
    <t>Сч-фактура № 1291 от 03.07.2020г.</t>
  </si>
  <si>
    <t>Счетчик газа СГМН-1-2-2 G6 (200мм) правый, Минск</t>
  </si>
  <si>
    <t>30007978А Комплект ремонтный (кольца уплотнительные)</t>
  </si>
  <si>
    <t>Заглушка 1/2" вн. никел.</t>
  </si>
  <si>
    <t>Заглушка 1/2" нар. никел.</t>
  </si>
  <si>
    <t>Сч-фактура № УТ-1336 от 02.07.2020г.</t>
  </si>
  <si>
    <t>Соединение неразъемное ПЭ/ст 0032х32мм ПЭ100 SDR11 ГАЗ</t>
  </si>
  <si>
    <t>Соединение неразъемное ПЭ/ст 0063х57мм ПЭ100 SDR11 ГАЗ</t>
  </si>
  <si>
    <t>Сч-фактура № 936 от 31.07.2020г.</t>
  </si>
  <si>
    <t>Сч-фактура № 930049 от 31.07.2020г.</t>
  </si>
  <si>
    <t>Сч-фактура № 100696529383 от 31.07.2020г.</t>
  </si>
  <si>
    <t>Сч-фактура № 20 от 31.07.2020г.</t>
  </si>
  <si>
    <t>Сч-фактура № 207255154491/700 от 31.07.2020г.</t>
  </si>
  <si>
    <t>Сч-фактура № CSC0000000593187 от 31.07.2020г.</t>
  </si>
  <si>
    <t>Сч-фактура № CSC0000000552205 от 31.07.2020г.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</si>
</sst>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1" fillId="0" borderId="0" xfId="1" applyFill="1"/>
    <xf numFmtId="0" fontId="5" fillId="0" borderId="0" xfId="2" applyFont="1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0" xfId="0" applyFill="1"/>
    <xf numFmtId="1" fontId="6" fillId="2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6" fillId="0" borderId="7" xfId="1" applyFont="1" applyFill="1" applyBorder="1" applyAlignment="1">
      <alignment horizontal="left" vertical="center" wrapText="1"/>
    </xf>
    <xf numFmtId="14" fontId="10" fillId="0" borderId="7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7" fontId="6" fillId="0" borderId="7" xfId="1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7" fontId="6" fillId="0" borderId="9" xfId="1" applyNumberFormat="1" applyFont="1" applyFill="1" applyBorder="1" applyAlignment="1">
      <alignment horizontal="center" vertical="center" wrapText="1"/>
    </xf>
    <xf numFmtId="167" fontId="6" fillId="0" borderId="10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167" fontId="6" fillId="0" borderId="8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10" fillId="0" borderId="8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164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64" fontId="6" fillId="0" borderId="17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167" fontId="6" fillId="0" borderId="17" xfId="1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topLeftCell="G7" zoomScale="85" zoomScaleNormal="85" workbookViewId="0">
      <selection activeCell="P21" sqref="P21"/>
    </sheetView>
  </sheetViews>
  <sheetFormatPr defaultRowHeight="15" x14ac:dyDescent="0.25"/>
  <cols>
    <col min="1" max="1" width="5" customWidth="1"/>
    <col min="2" max="2" width="10.42578125" customWidth="1"/>
    <col min="3" max="3" width="8.28515625" customWidth="1"/>
    <col min="4" max="4" width="9.140625" customWidth="1"/>
    <col min="5" max="6" width="8.28515625" customWidth="1"/>
    <col min="7" max="7" width="9.140625" customWidth="1"/>
    <col min="8" max="8" width="8" customWidth="1"/>
    <col min="9" max="12" width="9.140625" customWidth="1"/>
    <col min="13" max="13" width="8.42578125" customWidth="1"/>
    <col min="14" max="14" width="9.140625" customWidth="1"/>
    <col min="15" max="15" width="4.5703125" customWidth="1"/>
    <col min="16" max="16" width="24.85546875" style="8" customWidth="1"/>
    <col min="17" max="17" width="9.85546875" style="8" customWidth="1"/>
    <col min="18" max="18" width="9.5703125" style="8" customWidth="1"/>
    <col min="19" max="20" width="9.140625" style="8" customWidth="1"/>
    <col min="21" max="22" width="27.28515625" style="8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39" t="s">
        <v>0</v>
      </c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39" t="s">
        <v>1</v>
      </c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39" t="s">
        <v>2</v>
      </c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</row>
    <row r="5" spans="1:2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</row>
    <row r="6" spans="1:25" x14ac:dyDescent="0.25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5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5" ht="18.75" x14ac:dyDescent="0.25">
      <c r="A8" s="85" t="s">
        <v>79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5" hidden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>
        <v>1.3</v>
      </c>
      <c r="U9" s="4"/>
      <c r="V9" s="4"/>
    </row>
    <row r="10" spans="1:25" x14ac:dyDescent="0.25">
      <c r="A10" s="88" t="s">
        <v>4</v>
      </c>
      <c r="B10" s="82" t="s">
        <v>5</v>
      </c>
      <c r="C10" s="81" t="s">
        <v>6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91" t="s">
        <v>7</v>
      </c>
      <c r="Q10" s="91" t="s">
        <v>8</v>
      </c>
      <c r="R10" s="91" t="s">
        <v>9</v>
      </c>
      <c r="S10" s="91" t="s">
        <v>10</v>
      </c>
      <c r="T10" s="91" t="s">
        <v>11</v>
      </c>
      <c r="U10" s="91" t="s">
        <v>12</v>
      </c>
      <c r="V10" s="91" t="s">
        <v>13</v>
      </c>
    </row>
    <row r="11" spans="1:25" x14ac:dyDescent="0.25">
      <c r="A11" s="89"/>
      <c r="B11" s="83"/>
      <c r="C11" s="81" t="s">
        <v>14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 t="s">
        <v>15</v>
      </c>
      <c r="O11" s="82"/>
      <c r="P11" s="92"/>
      <c r="Q11" s="92"/>
      <c r="R11" s="92"/>
      <c r="S11" s="92"/>
      <c r="T11" s="92"/>
      <c r="U11" s="92"/>
      <c r="V11" s="92"/>
    </row>
    <row r="12" spans="1:25" x14ac:dyDescent="0.25">
      <c r="A12" s="89"/>
      <c r="B12" s="83"/>
      <c r="C12" s="81" t="s">
        <v>16</v>
      </c>
      <c r="D12" s="81"/>
      <c r="E12" s="81"/>
      <c r="F12" s="81"/>
      <c r="G12" s="81"/>
      <c r="H12" s="81"/>
      <c r="I12" s="81"/>
      <c r="J12" s="81"/>
      <c r="K12" s="81"/>
      <c r="L12" s="81"/>
      <c r="M12" s="82" t="s">
        <v>17</v>
      </c>
      <c r="N12" s="86"/>
      <c r="O12" s="87"/>
      <c r="P12" s="92"/>
      <c r="Q12" s="92"/>
      <c r="R12" s="92"/>
      <c r="S12" s="92"/>
      <c r="T12" s="92"/>
      <c r="U12" s="92"/>
      <c r="V12" s="92"/>
    </row>
    <row r="13" spans="1:25" x14ac:dyDescent="0.25">
      <c r="A13" s="89"/>
      <c r="B13" s="83"/>
      <c r="C13" s="81" t="s">
        <v>18</v>
      </c>
      <c r="D13" s="81"/>
      <c r="E13" s="81"/>
      <c r="F13" s="81" t="s">
        <v>19</v>
      </c>
      <c r="G13" s="81"/>
      <c r="H13" s="81"/>
      <c r="I13" s="81" t="s">
        <v>20</v>
      </c>
      <c r="J13" s="81"/>
      <c r="K13" s="81" t="s">
        <v>21</v>
      </c>
      <c r="L13" s="81"/>
      <c r="M13" s="83"/>
      <c r="N13" s="82" t="s">
        <v>22</v>
      </c>
      <c r="O13" s="82" t="s">
        <v>23</v>
      </c>
      <c r="P13" s="92"/>
      <c r="Q13" s="92"/>
      <c r="R13" s="92"/>
      <c r="S13" s="92"/>
      <c r="T13" s="92"/>
      <c r="U13" s="92"/>
      <c r="V13" s="92"/>
    </row>
    <row r="14" spans="1:25" ht="60" x14ac:dyDescent="0.25">
      <c r="A14" s="90"/>
      <c r="B14" s="84"/>
      <c r="C14" s="38" t="s">
        <v>24</v>
      </c>
      <c r="D14" s="38" t="s">
        <v>25</v>
      </c>
      <c r="E14" s="38" t="s">
        <v>26</v>
      </c>
      <c r="F14" s="38" t="s">
        <v>27</v>
      </c>
      <c r="G14" s="38" t="s">
        <v>28</v>
      </c>
      <c r="H14" s="38" t="s">
        <v>29</v>
      </c>
      <c r="I14" s="38" t="s">
        <v>30</v>
      </c>
      <c r="J14" s="38" t="s">
        <v>31</v>
      </c>
      <c r="K14" s="38" t="s">
        <v>32</v>
      </c>
      <c r="L14" s="38" t="s">
        <v>33</v>
      </c>
      <c r="M14" s="84"/>
      <c r="N14" s="84"/>
      <c r="O14" s="84"/>
      <c r="P14" s="93"/>
      <c r="Q14" s="93"/>
      <c r="R14" s="93"/>
      <c r="S14" s="93"/>
      <c r="T14" s="93"/>
      <c r="U14" s="93"/>
      <c r="V14" s="93"/>
    </row>
    <row r="15" spans="1:25" x14ac:dyDescent="0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</row>
    <row r="16" spans="1:25" ht="24" x14ac:dyDescent="0.25">
      <c r="A16" s="9">
        <v>1</v>
      </c>
      <c r="B16" s="17">
        <v>44014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8" t="s">
        <v>34</v>
      </c>
      <c r="O16" s="15"/>
      <c r="P16" s="11" t="s">
        <v>60</v>
      </c>
      <c r="Q16" s="40">
        <f t="shared" ref="Q16:Q44" si="0">T16/S16</f>
        <v>2.2560425</v>
      </c>
      <c r="R16" s="43" t="s">
        <v>44</v>
      </c>
      <c r="S16" s="44">
        <v>4</v>
      </c>
      <c r="T16" s="30">
        <f>9024.17/1000</f>
        <v>9.0241699999999998</v>
      </c>
      <c r="U16" s="16" t="s">
        <v>58</v>
      </c>
      <c r="V16" s="12" t="s">
        <v>145</v>
      </c>
      <c r="Y16" t="s">
        <v>129</v>
      </c>
    </row>
    <row r="17" spans="1:22" ht="24" x14ac:dyDescent="0.25">
      <c r="A17" s="9">
        <v>2</v>
      </c>
      <c r="B17" s="20">
        <v>44014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38" t="s">
        <v>34</v>
      </c>
      <c r="O17" s="14"/>
      <c r="P17" s="13" t="s">
        <v>59</v>
      </c>
      <c r="Q17" s="21">
        <f t="shared" si="0"/>
        <v>1.9174599999999999</v>
      </c>
      <c r="R17" s="43" t="s">
        <v>44</v>
      </c>
      <c r="S17" s="45">
        <v>1</v>
      </c>
      <c r="T17" s="34">
        <f>1917.46/1000</f>
        <v>1.9174599999999999</v>
      </c>
      <c r="U17" s="19" t="s">
        <v>58</v>
      </c>
      <c r="V17" s="12" t="s">
        <v>145</v>
      </c>
    </row>
    <row r="18" spans="1:22" ht="24" x14ac:dyDescent="0.25">
      <c r="A18" s="9">
        <v>3</v>
      </c>
      <c r="B18" s="17">
        <v>44014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8" t="s">
        <v>34</v>
      </c>
      <c r="O18" s="14"/>
      <c r="P18" s="25" t="s">
        <v>61</v>
      </c>
      <c r="Q18" s="40">
        <f t="shared" si="0"/>
        <v>2.2610000000000001</v>
      </c>
      <c r="R18" s="43" t="s">
        <v>44</v>
      </c>
      <c r="S18" s="60">
        <v>2</v>
      </c>
      <c r="T18" s="30">
        <f>4522/1000</f>
        <v>4.5220000000000002</v>
      </c>
      <c r="U18" s="29" t="s">
        <v>58</v>
      </c>
      <c r="V18" s="12" t="s">
        <v>145</v>
      </c>
    </row>
    <row r="19" spans="1:22" ht="24" x14ac:dyDescent="0.25">
      <c r="A19" s="9">
        <v>4</v>
      </c>
      <c r="B19" s="20">
        <v>44014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8" t="s">
        <v>34</v>
      </c>
      <c r="O19" s="14"/>
      <c r="P19" s="11" t="s">
        <v>146</v>
      </c>
      <c r="Q19" s="21">
        <f t="shared" si="0"/>
        <v>0.13717499999999999</v>
      </c>
      <c r="R19" s="6" t="s">
        <v>44</v>
      </c>
      <c r="S19" s="18">
        <v>10</v>
      </c>
      <c r="T19" s="27">
        <f>1371.75/1000</f>
        <v>1.37175</v>
      </c>
      <c r="U19" s="7" t="s">
        <v>58</v>
      </c>
      <c r="V19" s="12" t="s">
        <v>145</v>
      </c>
    </row>
    <row r="20" spans="1:22" ht="24" x14ac:dyDescent="0.25">
      <c r="A20" s="9">
        <v>5</v>
      </c>
      <c r="B20" s="17">
        <v>44014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8" t="s">
        <v>34</v>
      </c>
      <c r="O20" s="14"/>
      <c r="P20" s="11" t="s">
        <v>147</v>
      </c>
      <c r="Q20" s="21">
        <f t="shared" si="0"/>
        <v>0.24956999999999999</v>
      </c>
      <c r="R20" s="6" t="s">
        <v>44</v>
      </c>
      <c r="S20" s="59">
        <v>1</v>
      </c>
      <c r="T20" s="27">
        <f>249.57/1000</f>
        <v>0.24956999999999999</v>
      </c>
      <c r="U20" s="7" t="s">
        <v>58</v>
      </c>
      <c r="V20" s="12" t="s">
        <v>145</v>
      </c>
    </row>
    <row r="21" spans="1:22" ht="24" x14ac:dyDescent="0.25">
      <c r="A21" s="9">
        <v>6</v>
      </c>
      <c r="B21" s="20">
        <v>44014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8" t="s">
        <v>34</v>
      </c>
      <c r="O21" s="14"/>
      <c r="P21" s="11" t="s">
        <v>126</v>
      </c>
      <c r="Q21" s="21">
        <f t="shared" si="0"/>
        <v>0.125</v>
      </c>
      <c r="R21" s="6" t="s">
        <v>44</v>
      </c>
      <c r="S21" s="59">
        <v>15</v>
      </c>
      <c r="T21" s="27">
        <f>1875/1000</f>
        <v>1.875</v>
      </c>
      <c r="U21" s="7" t="s">
        <v>58</v>
      </c>
      <c r="V21" s="12" t="s">
        <v>145</v>
      </c>
    </row>
    <row r="22" spans="1:22" ht="24" x14ac:dyDescent="0.25">
      <c r="A22" s="9">
        <v>7</v>
      </c>
      <c r="B22" s="17">
        <v>44015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8" t="s">
        <v>34</v>
      </c>
      <c r="O22" s="15"/>
      <c r="P22" s="11" t="s">
        <v>110</v>
      </c>
      <c r="Q22" s="21">
        <f t="shared" si="0"/>
        <v>0.15346799999999999</v>
      </c>
      <c r="R22" s="6" t="s">
        <v>44</v>
      </c>
      <c r="S22" s="37">
        <v>2.5</v>
      </c>
      <c r="T22" s="27">
        <f>383.67/1000</f>
        <v>0.38367000000000001</v>
      </c>
      <c r="U22" s="7" t="s">
        <v>52</v>
      </c>
      <c r="V22" s="12" t="s">
        <v>140</v>
      </c>
    </row>
    <row r="23" spans="1:22" ht="24" x14ac:dyDescent="0.25">
      <c r="A23" s="9">
        <v>8</v>
      </c>
      <c r="B23" s="17">
        <v>44015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8" t="s">
        <v>34</v>
      </c>
      <c r="O23" s="15"/>
      <c r="P23" s="11" t="s">
        <v>77</v>
      </c>
      <c r="Q23" s="21">
        <f t="shared" si="0"/>
        <v>1.4583299999999999</v>
      </c>
      <c r="R23" s="6" t="s">
        <v>44</v>
      </c>
      <c r="S23" s="37">
        <v>1</v>
      </c>
      <c r="T23" s="27">
        <f>1458.33/1000</f>
        <v>1.4583299999999999</v>
      </c>
      <c r="U23" s="7" t="s">
        <v>52</v>
      </c>
      <c r="V23" s="12" t="s">
        <v>140</v>
      </c>
    </row>
    <row r="24" spans="1:22" ht="24" x14ac:dyDescent="0.25">
      <c r="A24" s="9">
        <v>9</v>
      </c>
      <c r="B24" s="17">
        <v>44015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8" t="s">
        <v>34</v>
      </c>
      <c r="O24" s="15"/>
      <c r="P24" s="25" t="s">
        <v>78</v>
      </c>
      <c r="Q24" s="24">
        <f t="shared" si="0"/>
        <v>0.1</v>
      </c>
      <c r="R24" s="32" t="s">
        <v>44</v>
      </c>
      <c r="S24" s="33">
        <v>2</v>
      </c>
      <c r="T24" s="30">
        <f>200/1000</f>
        <v>0.2</v>
      </c>
      <c r="U24" s="16" t="s">
        <v>52</v>
      </c>
      <c r="V24" s="12" t="s">
        <v>140</v>
      </c>
    </row>
    <row r="25" spans="1:22" ht="24" x14ac:dyDescent="0.25">
      <c r="A25" s="9">
        <v>10</v>
      </c>
      <c r="B25" s="17">
        <v>44015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9" t="s">
        <v>34</v>
      </c>
      <c r="O25" s="68"/>
      <c r="P25" s="52" t="s">
        <v>56</v>
      </c>
      <c r="Q25" s="69">
        <f t="shared" si="0"/>
        <v>0.125</v>
      </c>
      <c r="R25" s="70" t="s">
        <v>44</v>
      </c>
      <c r="S25" s="41">
        <v>1</v>
      </c>
      <c r="T25" s="53">
        <f>125/1000</f>
        <v>0.125</v>
      </c>
      <c r="U25" s="22" t="s">
        <v>52</v>
      </c>
      <c r="V25" s="71" t="s">
        <v>140</v>
      </c>
    </row>
    <row r="26" spans="1:22" ht="24" x14ac:dyDescent="0.25">
      <c r="A26" s="9">
        <v>11</v>
      </c>
      <c r="B26" s="17">
        <v>44015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4" t="s">
        <v>34</v>
      </c>
      <c r="O26" s="15"/>
      <c r="P26" s="11" t="s">
        <v>74</v>
      </c>
      <c r="Q26" s="24">
        <f t="shared" si="0"/>
        <v>2.375</v>
      </c>
      <c r="R26" s="32" t="s">
        <v>44</v>
      </c>
      <c r="S26" s="33">
        <v>1</v>
      </c>
      <c r="T26" s="30">
        <f>2375/1000</f>
        <v>2.375</v>
      </c>
      <c r="U26" s="16" t="s">
        <v>52</v>
      </c>
      <c r="V26" s="12" t="s">
        <v>140</v>
      </c>
    </row>
    <row r="27" spans="1:22" ht="24" x14ac:dyDescent="0.25">
      <c r="A27" s="9">
        <v>12</v>
      </c>
      <c r="B27" s="17">
        <v>44015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 t="s">
        <v>34</v>
      </c>
      <c r="O27" s="15"/>
      <c r="P27" s="11" t="s">
        <v>75</v>
      </c>
      <c r="Q27" s="24">
        <f t="shared" si="0"/>
        <v>0.155</v>
      </c>
      <c r="R27" s="32" t="s">
        <v>44</v>
      </c>
      <c r="S27" s="33">
        <v>1</v>
      </c>
      <c r="T27" s="30">
        <f>155/1000</f>
        <v>0.155</v>
      </c>
      <c r="U27" s="29" t="s">
        <v>52</v>
      </c>
      <c r="V27" s="12" t="s">
        <v>140</v>
      </c>
    </row>
    <row r="28" spans="1:22" ht="24" x14ac:dyDescent="0.25">
      <c r="A28" s="9">
        <v>13</v>
      </c>
      <c r="B28" s="17">
        <v>44015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 t="s">
        <v>34</v>
      </c>
      <c r="O28" s="15"/>
      <c r="P28" s="11" t="s">
        <v>76</v>
      </c>
      <c r="Q28" s="24">
        <f t="shared" si="0"/>
        <v>0.29930000000000001</v>
      </c>
      <c r="R28" s="32" t="s">
        <v>44</v>
      </c>
      <c r="S28" s="33">
        <v>1</v>
      </c>
      <c r="T28" s="76">
        <f>299.3/1000</f>
        <v>0.29930000000000001</v>
      </c>
      <c r="U28" s="29" t="s">
        <v>52</v>
      </c>
      <c r="V28" s="12" t="s">
        <v>140</v>
      </c>
    </row>
    <row r="29" spans="1:22" ht="24" x14ac:dyDescent="0.25">
      <c r="A29" s="9">
        <v>14</v>
      </c>
      <c r="B29" s="17">
        <v>44015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50" t="s">
        <v>34</v>
      </c>
      <c r="O29" s="72"/>
      <c r="P29" s="52" t="s">
        <v>57</v>
      </c>
      <c r="Q29" s="73">
        <f t="shared" si="0"/>
        <v>0.24167</v>
      </c>
      <c r="R29" s="74" t="s">
        <v>44</v>
      </c>
      <c r="S29" s="75">
        <v>1</v>
      </c>
      <c r="T29" s="76">
        <f>241.67/1000</f>
        <v>0.24167</v>
      </c>
      <c r="U29" s="63" t="s">
        <v>52</v>
      </c>
      <c r="V29" s="26" t="s">
        <v>140</v>
      </c>
    </row>
    <row r="30" spans="1:22" ht="24" x14ac:dyDescent="0.25">
      <c r="A30" s="9">
        <v>15</v>
      </c>
      <c r="B30" s="17">
        <v>44015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47" t="s">
        <v>34</v>
      </c>
      <c r="O30" s="15"/>
      <c r="P30" s="11" t="s">
        <v>96</v>
      </c>
      <c r="Q30" s="24">
        <f t="shared" si="0"/>
        <v>0.20416999999999999</v>
      </c>
      <c r="R30" s="32" t="s">
        <v>44</v>
      </c>
      <c r="S30" s="33">
        <v>1</v>
      </c>
      <c r="T30" s="30">
        <f>204.17/1000</f>
        <v>0.20416999999999999</v>
      </c>
      <c r="U30" s="16" t="s">
        <v>52</v>
      </c>
      <c r="V30" s="12" t="s">
        <v>140</v>
      </c>
    </row>
    <row r="31" spans="1:22" ht="24" x14ac:dyDescent="0.25">
      <c r="A31" s="9">
        <v>16</v>
      </c>
      <c r="B31" s="17">
        <v>44015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8" t="s">
        <v>34</v>
      </c>
      <c r="O31" s="15"/>
      <c r="P31" s="25" t="s">
        <v>67</v>
      </c>
      <c r="Q31" s="54">
        <f t="shared" si="0"/>
        <v>2.8175000000000002E-2</v>
      </c>
      <c r="R31" s="55" t="s">
        <v>44</v>
      </c>
      <c r="S31" s="42">
        <v>2</v>
      </c>
      <c r="T31" s="36">
        <f>56.35/1000</f>
        <v>5.6350000000000004E-2</v>
      </c>
      <c r="U31" s="56" t="s">
        <v>52</v>
      </c>
      <c r="V31" s="12" t="s">
        <v>140</v>
      </c>
    </row>
    <row r="32" spans="1:22" ht="24" x14ac:dyDescent="0.25">
      <c r="A32" s="9">
        <v>17</v>
      </c>
      <c r="B32" s="17">
        <v>44015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38" t="s">
        <v>34</v>
      </c>
      <c r="O32" s="15"/>
      <c r="P32" s="11" t="s">
        <v>66</v>
      </c>
      <c r="Q32" s="40">
        <f t="shared" si="0"/>
        <v>2.52E-2</v>
      </c>
      <c r="R32" s="32" t="s">
        <v>44</v>
      </c>
      <c r="S32" s="33">
        <v>2</v>
      </c>
      <c r="T32" s="34">
        <f>50.4/1000</f>
        <v>5.04E-2</v>
      </c>
      <c r="U32" s="19" t="s">
        <v>52</v>
      </c>
      <c r="V32" s="12" t="s">
        <v>140</v>
      </c>
    </row>
    <row r="33" spans="1:22" ht="24" x14ac:dyDescent="0.25">
      <c r="A33" s="9">
        <v>18</v>
      </c>
      <c r="B33" s="17">
        <v>44015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38" t="s">
        <v>34</v>
      </c>
      <c r="O33" s="15"/>
      <c r="P33" s="11" t="s">
        <v>65</v>
      </c>
      <c r="Q33" s="40">
        <f t="shared" si="0"/>
        <v>3.1734999999999999E-2</v>
      </c>
      <c r="R33" s="32" t="s">
        <v>44</v>
      </c>
      <c r="S33" s="33">
        <v>2</v>
      </c>
      <c r="T33" s="34">
        <f>63.47/1000</f>
        <v>6.3469999999999999E-2</v>
      </c>
      <c r="U33" s="19" t="s">
        <v>52</v>
      </c>
      <c r="V33" s="12" t="s">
        <v>140</v>
      </c>
    </row>
    <row r="34" spans="1:22" ht="24" x14ac:dyDescent="0.25">
      <c r="A34" s="9">
        <v>19</v>
      </c>
      <c r="B34" s="17">
        <v>44015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8" t="s">
        <v>34</v>
      </c>
      <c r="O34" s="15"/>
      <c r="P34" s="11" t="s">
        <v>64</v>
      </c>
      <c r="Q34" s="40">
        <f t="shared" si="0"/>
        <v>1.3067500000000001E-2</v>
      </c>
      <c r="R34" s="32" t="s">
        <v>44</v>
      </c>
      <c r="S34" s="33">
        <v>4</v>
      </c>
      <c r="T34" s="34">
        <f>52.27/1000</f>
        <v>5.2270000000000004E-2</v>
      </c>
      <c r="U34" s="19" t="s">
        <v>52</v>
      </c>
      <c r="V34" s="12" t="s">
        <v>140</v>
      </c>
    </row>
    <row r="35" spans="1:22" ht="24" x14ac:dyDescent="0.25">
      <c r="A35" s="9">
        <v>20</v>
      </c>
      <c r="B35" s="17">
        <v>44015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38" t="s">
        <v>34</v>
      </c>
      <c r="O35" s="15"/>
      <c r="P35" s="11" t="s">
        <v>68</v>
      </c>
      <c r="Q35" s="40">
        <f t="shared" si="0"/>
        <v>1.09E-2</v>
      </c>
      <c r="R35" s="32" t="s">
        <v>44</v>
      </c>
      <c r="S35" s="33">
        <v>1</v>
      </c>
      <c r="T35" s="34">
        <f>10.9/1000</f>
        <v>1.09E-2</v>
      </c>
      <c r="U35" s="19" t="s">
        <v>52</v>
      </c>
      <c r="V35" s="12" t="s">
        <v>140</v>
      </c>
    </row>
    <row r="36" spans="1:22" ht="24" x14ac:dyDescent="0.25">
      <c r="A36" s="9">
        <v>21</v>
      </c>
      <c r="B36" s="17">
        <v>44015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38" t="s">
        <v>34</v>
      </c>
      <c r="O36" s="15"/>
      <c r="P36" s="11" t="s">
        <v>73</v>
      </c>
      <c r="Q36" s="40">
        <f t="shared" si="0"/>
        <v>2.3329999999999997E-2</v>
      </c>
      <c r="R36" s="32" t="s">
        <v>44</v>
      </c>
      <c r="S36" s="33">
        <v>1</v>
      </c>
      <c r="T36" s="34">
        <f>23.33/1000</f>
        <v>2.3329999999999997E-2</v>
      </c>
      <c r="U36" s="19" t="s">
        <v>52</v>
      </c>
      <c r="V36" s="12" t="s">
        <v>140</v>
      </c>
    </row>
    <row r="37" spans="1:22" ht="24" x14ac:dyDescent="0.25">
      <c r="A37" s="9">
        <v>22</v>
      </c>
      <c r="B37" s="17">
        <v>44015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8" t="s">
        <v>34</v>
      </c>
      <c r="O37" s="15"/>
      <c r="P37" s="11" t="s">
        <v>72</v>
      </c>
      <c r="Q37" s="40">
        <f t="shared" si="0"/>
        <v>0.22033000000000003</v>
      </c>
      <c r="R37" s="32" t="s">
        <v>44</v>
      </c>
      <c r="S37" s="33">
        <v>1</v>
      </c>
      <c r="T37" s="34">
        <f>220.33/1000</f>
        <v>0.22033000000000003</v>
      </c>
      <c r="U37" s="19" t="s">
        <v>52</v>
      </c>
      <c r="V37" s="12" t="s">
        <v>140</v>
      </c>
    </row>
    <row r="38" spans="1:22" ht="36" x14ac:dyDescent="0.25">
      <c r="A38" s="9">
        <v>23</v>
      </c>
      <c r="B38" s="17">
        <v>44015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38" t="s">
        <v>34</v>
      </c>
      <c r="O38" s="15"/>
      <c r="P38" s="11" t="s">
        <v>71</v>
      </c>
      <c r="Q38" s="40">
        <f t="shared" si="0"/>
        <v>1.7675E-2</v>
      </c>
      <c r="R38" s="32" t="s">
        <v>44</v>
      </c>
      <c r="S38" s="41">
        <v>6</v>
      </c>
      <c r="T38" s="35">
        <f>106.05/1000</f>
        <v>0.10604999999999999</v>
      </c>
      <c r="U38" s="19" t="s">
        <v>52</v>
      </c>
      <c r="V38" s="12" t="s">
        <v>140</v>
      </c>
    </row>
    <row r="39" spans="1:22" ht="24" x14ac:dyDescent="0.25">
      <c r="A39" s="9">
        <v>24</v>
      </c>
      <c r="B39" s="17">
        <v>44015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8" t="s">
        <v>34</v>
      </c>
      <c r="O39" s="15"/>
      <c r="P39" s="11" t="s">
        <v>70</v>
      </c>
      <c r="Q39" s="40">
        <f t="shared" si="0"/>
        <v>1.3519999999999999E-2</v>
      </c>
      <c r="R39" s="32" t="s">
        <v>44</v>
      </c>
      <c r="S39" s="33">
        <v>1</v>
      </c>
      <c r="T39" s="30">
        <f>13.52/1000</f>
        <v>1.3519999999999999E-2</v>
      </c>
      <c r="U39" s="19" t="s">
        <v>52</v>
      </c>
      <c r="V39" s="12" t="s">
        <v>140</v>
      </c>
    </row>
    <row r="40" spans="1:22" ht="24" x14ac:dyDescent="0.25">
      <c r="A40" s="9">
        <v>25</v>
      </c>
      <c r="B40" s="17">
        <v>44015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38" t="s">
        <v>34</v>
      </c>
      <c r="O40" s="15"/>
      <c r="P40" s="11" t="s">
        <v>62</v>
      </c>
      <c r="Q40" s="40">
        <f t="shared" si="0"/>
        <v>1.2799999999999999E-2</v>
      </c>
      <c r="R40" s="32" t="s">
        <v>44</v>
      </c>
      <c r="S40" s="42">
        <v>6</v>
      </c>
      <c r="T40" s="36">
        <f>76.8/1000</f>
        <v>7.6799999999999993E-2</v>
      </c>
      <c r="U40" s="19" t="s">
        <v>52</v>
      </c>
      <c r="V40" s="12" t="s">
        <v>140</v>
      </c>
    </row>
    <row r="41" spans="1:22" ht="24" x14ac:dyDescent="0.25">
      <c r="A41" s="9">
        <v>26</v>
      </c>
      <c r="B41" s="17">
        <v>44015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38" t="s">
        <v>34</v>
      </c>
      <c r="O41" s="15"/>
      <c r="P41" s="11" t="s">
        <v>141</v>
      </c>
      <c r="Q41" s="40">
        <f t="shared" si="0"/>
        <v>2.98333</v>
      </c>
      <c r="R41" s="32" t="s">
        <v>44</v>
      </c>
      <c r="S41" s="42">
        <v>1</v>
      </c>
      <c r="T41" s="36">
        <f>2983.33/1000</f>
        <v>2.98333</v>
      </c>
      <c r="U41" s="19" t="s">
        <v>52</v>
      </c>
      <c r="V41" s="12" t="s">
        <v>140</v>
      </c>
    </row>
    <row r="42" spans="1:22" ht="36" x14ac:dyDescent="0.25">
      <c r="A42" s="9">
        <v>27</v>
      </c>
      <c r="B42" s="17">
        <v>44015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8" t="s">
        <v>34</v>
      </c>
      <c r="O42" s="15"/>
      <c r="P42" s="11" t="s">
        <v>142</v>
      </c>
      <c r="Q42" s="40">
        <f t="shared" si="0"/>
        <v>0.36854999999999999</v>
      </c>
      <c r="R42" s="32" t="s">
        <v>44</v>
      </c>
      <c r="S42" s="42">
        <v>2</v>
      </c>
      <c r="T42" s="36">
        <f>737.1/1000</f>
        <v>0.73709999999999998</v>
      </c>
      <c r="U42" s="19" t="s">
        <v>52</v>
      </c>
      <c r="V42" s="12" t="s">
        <v>140</v>
      </c>
    </row>
    <row r="43" spans="1:22" ht="29.25" customHeight="1" x14ac:dyDescent="0.25">
      <c r="A43" s="9">
        <v>28</v>
      </c>
      <c r="B43" s="17">
        <v>44015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8" t="s">
        <v>34</v>
      </c>
      <c r="O43" s="15"/>
      <c r="P43" s="11" t="s">
        <v>143</v>
      </c>
      <c r="Q43" s="40">
        <f t="shared" si="0"/>
        <v>2.6859999999999998E-2</v>
      </c>
      <c r="R43" s="32" t="s">
        <v>44</v>
      </c>
      <c r="S43" s="42">
        <v>2</v>
      </c>
      <c r="T43" s="36">
        <f>53.72/1000</f>
        <v>5.3719999999999997E-2</v>
      </c>
      <c r="U43" s="19" t="s">
        <v>52</v>
      </c>
      <c r="V43" s="12" t="s">
        <v>140</v>
      </c>
    </row>
    <row r="44" spans="1:22" ht="29.25" customHeight="1" x14ac:dyDescent="0.25">
      <c r="A44" s="9">
        <v>29</v>
      </c>
      <c r="B44" s="17">
        <v>44015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8" t="s">
        <v>34</v>
      </c>
      <c r="O44" s="15"/>
      <c r="P44" s="11" t="s">
        <v>144</v>
      </c>
      <c r="Q44" s="40">
        <f t="shared" si="0"/>
        <v>2.359E-2</v>
      </c>
      <c r="R44" s="32" t="s">
        <v>44</v>
      </c>
      <c r="S44" s="42">
        <v>2</v>
      </c>
      <c r="T44" s="36">
        <f>47.18/1000</f>
        <v>4.718E-2</v>
      </c>
      <c r="U44" s="19" t="s">
        <v>52</v>
      </c>
      <c r="V44" s="12" t="s">
        <v>140</v>
      </c>
    </row>
    <row r="45" spans="1:22" ht="24" x14ac:dyDescent="0.25">
      <c r="A45" s="9">
        <v>30</v>
      </c>
      <c r="B45" s="17">
        <v>44018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38" t="s">
        <v>34</v>
      </c>
      <c r="O45" s="15"/>
      <c r="P45" s="11" t="s">
        <v>49</v>
      </c>
      <c r="Q45" s="58">
        <f>T45</f>
        <v>0.83666999999999991</v>
      </c>
      <c r="R45" s="23" t="s">
        <v>37</v>
      </c>
      <c r="S45" s="31" t="s">
        <v>37</v>
      </c>
      <c r="T45" s="36">
        <f>836.67/1000</f>
        <v>0.83666999999999991</v>
      </c>
      <c r="U45" s="19" t="s">
        <v>133</v>
      </c>
      <c r="V45" s="12" t="s">
        <v>134</v>
      </c>
    </row>
    <row r="46" spans="1:22" ht="24" x14ac:dyDescent="0.25">
      <c r="A46" s="9">
        <v>31</v>
      </c>
      <c r="B46" s="17">
        <v>44018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38" t="s">
        <v>34</v>
      </c>
      <c r="O46" s="15"/>
      <c r="P46" s="11" t="s">
        <v>137</v>
      </c>
      <c r="Q46" s="40">
        <f t="shared" ref="Q46:Q77" si="1">T46/S46</f>
        <v>10.8423</v>
      </c>
      <c r="R46" s="32" t="s">
        <v>44</v>
      </c>
      <c r="S46" s="42">
        <v>1</v>
      </c>
      <c r="T46" s="36">
        <f>10842.3/1000</f>
        <v>10.8423</v>
      </c>
      <c r="U46" s="19" t="s">
        <v>135</v>
      </c>
      <c r="V46" s="12" t="s">
        <v>136</v>
      </c>
    </row>
    <row r="47" spans="1:22" ht="24" x14ac:dyDescent="0.25">
      <c r="A47" s="9">
        <v>32</v>
      </c>
      <c r="B47" s="17">
        <v>44018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8" t="s">
        <v>34</v>
      </c>
      <c r="O47" s="15"/>
      <c r="P47" s="11" t="s">
        <v>138</v>
      </c>
      <c r="Q47" s="40">
        <f t="shared" si="1"/>
        <v>3.0662500000000001</v>
      </c>
      <c r="R47" s="32" t="s">
        <v>44</v>
      </c>
      <c r="S47" s="42">
        <v>1</v>
      </c>
      <c r="T47" s="36">
        <f>3066.25/1000</f>
        <v>3.0662500000000001</v>
      </c>
      <c r="U47" s="19" t="s">
        <v>135</v>
      </c>
      <c r="V47" s="12" t="s">
        <v>136</v>
      </c>
    </row>
    <row r="48" spans="1:22" ht="24" x14ac:dyDescent="0.25">
      <c r="A48" s="9">
        <v>33</v>
      </c>
      <c r="B48" s="17">
        <v>44018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8" t="s">
        <v>34</v>
      </c>
      <c r="O48" s="15"/>
      <c r="P48" s="11" t="s">
        <v>59</v>
      </c>
      <c r="Q48" s="40">
        <f t="shared" si="1"/>
        <v>1.9174599999999999</v>
      </c>
      <c r="R48" s="32" t="s">
        <v>44</v>
      </c>
      <c r="S48" s="42">
        <v>1</v>
      </c>
      <c r="T48" s="36">
        <f>1917.46/1000</f>
        <v>1.9174599999999999</v>
      </c>
      <c r="U48" s="19" t="s">
        <v>58</v>
      </c>
      <c r="V48" s="12" t="s">
        <v>139</v>
      </c>
    </row>
    <row r="49" spans="1:22" ht="24" x14ac:dyDescent="0.25">
      <c r="A49" s="9">
        <v>34</v>
      </c>
      <c r="B49" s="17">
        <v>44020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7" t="s">
        <v>34</v>
      </c>
      <c r="O49" s="15"/>
      <c r="P49" s="11" t="s">
        <v>126</v>
      </c>
      <c r="Q49" s="40">
        <f t="shared" si="1"/>
        <v>0.125</v>
      </c>
      <c r="R49" s="32" t="s">
        <v>44</v>
      </c>
      <c r="S49" s="42">
        <v>20</v>
      </c>
      <c r="T49" s="36">
        <f>2500/1000</f>
        <v>2.5</v>
      </c>
      <c r="U49" s="19" t="s">
        <v>58</v>
      </c>
      <c r="V49" s="12" t="s">
        <v>127</v>
      </c>
    </row>
    <row r="50" spans="1:22" ht="24" x14ac:dyDescent="0.25">
      <c r="A50" s="9">
        <v>35</v>
      </c>
      <c r="B50" s="17">
        <v>44020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38" t="s">
        <v>34</v>
      </c>
      <c r="O50" s="15"/>
      <c r="P50" s="11" t="s">
        <v>128</v>
      </c>
      <c r="Q50" s="40">
        <f t="shared" si="1"/>
        <v>1.0625000000000001E-2</v>
      </c>
      <c r="R50" s="32" t="s">
        <v>44</v>
      </c>
      <c r="S50" s="42">
        <v>4</v>
      </c>
      <c r="T50" s="36">
        <f>42.5/1000</f>
        <v>4.2500000000000003E-2</v>
      </c>
      <c r="U50" s="19" t="s">
        <v>58</v>
      </c>
      <c r="V50" s="12" t="s">
        <v>127</v>
      </c>
    </row>
    <row r="51" spans="1:22" ht="24" x14ac:dyDescent="0.25">
      <c r="A51" s="9">
        <v>36</v>
      </c>
      <c r="B51" s="17">
        <v>44020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8" t="s">
        <v>34</v>
      </c>
      <c r="O51" s="15"/>
      <c r="P51" s="11" t="s">
        <v>130</v>
      </c>
      <c r="Q51" s="40">
        <f t="shared" si="1"/>
        <v>4.55</v>
      </c>
      <c r="R51" s="32" t="s">
        <v>44</v>
      </c>
      <c r="S51" s="42">
        <v>1</v>
      </c>
      <c r="T51" s="36">
        <f>4550/1000</f>
        <v>4.55</v>
      </c>
      <c r="U51" s="19" t="s">
        <v>131</v>
      </c>
      <c r="V51" s="12" t="s">
        <v>132</v>
      </c>
    </row>
    <row r="52" spans="1:22" ht="24" x14ac:dyDescent="0.25">
      <c r="A52" s="9">
        <v>37</v>
      </c>
      <c r="B52" s="17">
        <v>44022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8" t="s">
        <v>34</v>
      </c>
      <c r="O52" s="15"/>
      <c r="P52" s="11" t="s">
        <v>50</v>
      </c>
      <c r="Q52" s="51">
        <f t="shared" si="1"/>
        <v>1.31073</v>
      </c>
      <c r="R52" s="23" t="s">
        <v>125</v>
      </c>
      <c r="S52" s="31">
        <v>1</v>
      </c>
      <c r="T52" s="36">
        <f>1310.73/1000</f>
        <v>1.31073</v>
      </c>
      <c r="U52" s="65" t="s">
        <v>36</v>
      </c>
      <c r="V52" s="12" t="s">
        <v>124</v>
      </c>
    </row>
    <row r="53" spans="1:22" ht="24" x14ac:dyDescent="0.25">
      <c r="A53" s="9">
        <v>38</v>
      </c>
      <c r="B53" s="17">
        <v>44022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8" t="s">
        <v>34</v>
      </c>
      <c r="O53" s="15"/>
      <c r="P53" s="11" t="s">
        <v>74</v>
      </c>
      <c r="Q53" s="40">
        <f t="shared" si="1"/>
        <v>2.375</v>
      </c>
      <c r="R53" s="32" t="s">
        <v>44</v>
      </c>
      <c r="S53" s="42">
        <v>2</v>
      </c>
      <c r="T53" s="36">
        <f>4750/1000</f>
        <v>4.75</v>
      </c>
      <c r="U53" s="19" t="s">
        <v>52</v>
      </c>
      <c r="V53" s="12" t="s">
        <v>118</v>
      </c>
    </row>
    <row r="54" spans="1:22" ht="24" x14ac:dyDescent="0.25">
      <c r="A54" s="9">
        <v>39</v>
      </c>
      <c r="B54" s="17">
        <v>44022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38" t="s">
        <v>34</v>
      </c>
      <c r="O54" s="15"/>
      <c r="P54" s="11" t="s">
        <v>56</v>
      </c>
      <c r="Q54" s="40">
        <f t="shared" si="1"/>
        <v>0.125</v>
      </c>
      <c r="R54" s="32" t="s">
        <v>44</v>
      </c>
      <c r="S54" s="42">
        <v>2</v>
      </c>
      <c r="T54" s="36">
        <f>250/1000</f>
        <v>0.25</v>
      </c>
      <c r="U54" s="19" t="s">
        <v>52</v>
      </c>
      <c r="V54" s="12" t="s">
        <v>118</v>
      </c>
    </row>
    <row r="55" spans="1:22" ht="24" x14ac:dyDescent="0.25">
      <c r="A55" s="9">
        <v>40</v>
      </c>
      <c r="B55" s="17">
        <v>44022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8" t="s">
        <v>34</v>
      </c>
      <c r="O55" s="15"/>
      <c r="P55" s="11" t="s">
        <v>119</v>
      </c>
      <c r="Q55" s="40">
        <f t="shared" si="1"/>
        <v>9.7500000000000003E-2</v>
      </c>
      <c r="R55" s="32" t="s">
        <v>44</v>
      </c>
      <c r="S55" s="42">
        <v>2</v>
      </c>
      <c r="T55" s="36">
        <f>195/1000</f>
        <v>0.19500000000000001</v>
      </c>
      <c r="U55" s="19" t="s">
        <v>52</v>
      </c>
      <c r="V55" s="12" t="s">
        <v>118</v>
      </c>
    </row>
    <row r="56" spans="1:22" ht="24" x14ac:dyDescent="0.25">
      <c r="A56" s="9">
        <v>41</v>
      </c>
      <c r="B56" s="17">
        <v>44022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38" t="s">
        <v>34</v>
      </c>
      <c r="O56" s="15"/>
      <c r="P56" s="11" t="s">
        <v>75</v>
      </c>
      <c r="Q56" s="40">
        <f t="shared" si="1"/>
        <v>0.155</v>
      </c>
      <c r="R56" s="32" t="s">
        <v>44</v>
      </c>
      <c r="S56" s="42">
        <v>2</v>
      </c>
      <c r="T56" s="36">
        <f>310/1000</f>
        <v>0.31</v>
      </c>
      <c r="U56" s="19" t="s">
        <v>52</v>
      </c>
      <c r="V56" s="12" t="s">
        <v>118</v>
      </c>
    </row>
    <row r="57" spans="1:22" ht="24" x14ac:dyDescent="0.25">
      <c r="A57" s="9">
        <v>42</v>
      </c>
      <c r="B57" s="17">
        <v>44022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8" t="s">
        <v>34</v>
      </c>
      <c r="O57" s="15"/>
      <c r="P57" s="11" t="s">
        <v>76</v>
      </c>
      <c r="Q57" s="40">
        <f t="shared" si="1"/>
        <v>0.29930000000000001</v>
      </c>
      <c r="R57" s="32" t="s">
        <v>44</v>
      </c>
      <c r="S57" s="42">
        <v>2</v>
      </c>
      <c r="T57" s="36">
        <f>598.6/1000</f>
        <v>0.59860000000000002</v>
      </c>
      <c r="U57" s="19" t="s">
        <v>52</v>
      </c>
      <c r="V57" s="12" t="s">
        <v>118</v>
      </c>
    </row>
    <row r="58" spans="1:22" ht="24" x14ac:dyDescent="0.25">
      <c r="A58" s="9">
        <v>43</v>
      </c>
      <c r="B58" s="17">
        <v>44022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8" t="s">
        <v>34</v>
      </c>
      <c r="O58" s="15"/>
      <c r="P58" s="11" t="s">
        <v>57</v>
      </c>
      <c r="Q58" s="40">
        <f t="shared" si="1"/>
        <v>0.24166499999999999</v>
      </c>
      <c r="R58" s="32" t="s">
        <v>44</v>
      </c>
      <c r="S58" s="42">
        <v>2</v>
      </c>
      <c r="T58" s="36">
        <f>483.33/1000</f>
        <v>0.48332999999999998</v>
      </c>
      <c r="U58" s="19" t="s">
        <v>52</v>
      </c>
      <c r="V58" s="12" t="s">
        <v>118</v>
      </c>
    </row>
    <row r="59" spans="1:22" ht="24" x14ac:dyDescent="0.25">
      <c r="A59" s="9">
        <v>44</v>
      </c>
      <c r="B59" s="17">
        <v>44022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38" t="s">
        <v>34</v>
      </c>
      <c r="O59" s="15"/>
      <c r="P59" s="11" t="s">
        <v>69</v>
      </c>
      <c r="Q59" s="40">
        <f t="shared" si="1"/>
        <v>7.5849999999999997E-3</v>
      </c>
      <c r="R59" s="32" t="s">
        <v>44</v>
      </c>
      <c r="S59" s="42">
        <v>2</v>
      </c>
      <c r="T59" s="36">
        <f>15.17/1000</f>
        <v>1.5169999999999999E-2</v>
      </c>
      <c r="U59" s="19" t="s">
        <v>52</v>
      </c>
      <c r="V59" s="12" t="s">
        <v>118</v>
      </c>
    </row>
    <row r="60" spans="1:22" ht="25.5" customHeight="1" x14ac:dyDescent="0.25">
      <c r="A60" s="9">
        <v>45</v>
      </c>
      <c r="B60" s="17">
        <v>44022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38" t="s">
        <v>34</v>
      </c>
      <c r="O60" s="15"/>
      <c r="P60" s="11" t="s">
        <v>64</v>
      </c>
      <c r="Q60" s="40">
        <f t="shared" si="1"/>
        <v>1.3066999999999999E-2</v>
      </c>
      <c r="R60" s="32" t="s">
        <v>44</v>
      </c>
      <c r="S60" s="42">
        <v>10</v>
      </c>
      <c r="T60" s="36">
        <f>130.67/1000</f>
        <v>0.13066999999999998</v>
      </c>
      <c r="U60" s="19" t="s">
        <v>52</v>
      </c>
      <c r="V60" s="12" t="s">
        <v>118</v>
      </c>
    </row>
    <row r="61" spans="1:22" ht="24" x14ac:dyDescent="0.25">
      <c r="A61" s="9">
        <v>46</v>
      </c>
      <c r="B61" s="17">
        <v>44022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8" t="s">
        <v>34</v>
      </c>
      <c r="O61" s="15"/>
      <c r="P61" s="11" t="s">
        <v>105</v>
      </c>
      <c r="Q61" s="40">
        <f t="shared" si="1"/>
        <v>1.4583299999999999</v>
      </c>
      <c r="R61" s="32" t="s">
        <v>44</v>
      </c>
      <c r="S61" s="42">
        <v>1</v>
      </c>
      <c r="T61" s="36">
        <f>1458.33/1000</f>
        <v>1.4583299999999999</v>
      </c>
      <c r="U61" s="19" t="s">
        <v>52</v>
      </c>
      <c r="V61" s="12" t="s">
        <v>118</v>
      </c>
    </row>
    <row r="62" spans="1:22" ht="24" x14ac:dyDescent="0.25">
      <c r="A62" s="9">
        <v>47</v>
      </c>
      <c r="B62" s="17">
        <v>44022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38" t="s">
        <v>34</v>
      </c>
      <c r="O62" s="15"/>
      <c r="P62" s="11" t="s">
        <v>78</v>
      </c>
      <c r="Q62" s="40">
        <f t="shared" si="1"/>
        <v>0.1</v>
      </c>
      <c r="R62" s="32" t="s">
        <v>122</v>
      </c>
      <c r="S62" s="42">
        <v>1</v>
      </c>
      <c r="T62" s="36">
        <f>100/1000</f>
        <v>0.1</v>
      </c>
      <c r="U62" s="19" t="s">
        <v>52</v>
      </c>
      <c r="V62" s="12" t="s">
        <v>118</v>
      </c>
    </row>
    <row r="63" spans="1:22" ht="29.25" customHeight="1" x14ac:dyDescent="0.25">
      <c r="A63" s="9">
        <v>48</v>
      </c>
      <c r="B63" s="17">
        <v>44022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38" t="s">
        <v>34</v>
      </c>
      <c r="O63" s="15"/>
      <c r="P63" s="11" t="s">
        <v>120</v>
      </c>
      <c r="Q63" s="40">
        <f t="shared" si="1"/>
        <v>0.92699999999999994</v>
      </c>
      <c r="R63" s="32" t="s">
        <v>121</v>
      </c>
      <c r="S63" s="42">
        <v>0.55000000000000004</v>
      </c>
      <c r="T63" s="36">
        <f>509.85/1000</f>
        <v>0.50985000000000003</v>
      </c>
      <c r="U63" s="19" t="s">
        <v>52</v>
      </c>
      <c r="V63" s="12" t="s">
        <v>118</v>
      </c>
    </row>
    <row r="64" spans="1:22" ht="24" x14ac:dyDescent="0.25">
      <c r="A64" s="9">
        <v>49</v>
      </c>
      <c r="B64" s="17">
        <v>44022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8" t="s">
        <v>34</v>
      </c>
      <c r="O64" s="15"/>
      <c r="P64" s="11" t="s">
        <v>65</v>
      </c>
      <c r="Q64" s="40">
        <f t="shared" si="1"/>
        <v>3.1734999999999999E-2</v>
      </c>
      <c r="R64" s="32" t="s">
        <v>44</v>
      </c>
      <c r="S64" s="42">
        <v>2</v>
      </c>
      <c r="T64" s="36">
        <f>63.47/1000</f>
        <v>6.3469999999999999E-2</v>
      </c>
      <c r="U64" s="19" t="s">
        <v>52</v>
      </c>
      <c r="V64" s="12" t="s">
        <v>118</v>
      </c>
    </row>
    <row r="65" spans="1:22" ht="24" x14ac:dyDescent="0.25">
      <c r="A65" s="9">
        <v>50</v>
      </c>
      <c r="B65" s="17">
        <v>44022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8" t="s">
        <v>34</v>
      </c>
      <c r="O65" s="15"/>
      <c r="P65" s="11" t="s">
        <v>66</v>
      </c>
      <c r="Q65" s="40">
        <f t="shared" si="1"/>
        <v>2.52E-2</v>
      </c>
      <c r="R65" s="32" t="s">
        <v>44</v>
      </c>
      <c r="S65" s="42">
        <v>2</v>
      </c>
      <c r="T65" s="36">
        <f>50.4/1000</f>
        <v>5.04E-2</v>
      </c>
      <c r="U65" s="19" t="s">
        <v>52</v>
      </c>
      <c r="V65" s="12" t="s">
        <v>118</v>
      </c>
    </row>
    <row r="66" spans="1:22" ht="24" x14ac:dyDescent="0.25">
      <c r="A66" s="9">
        <v>51</v>
      </c>
      <c r="B66" s="17">
        <v>44022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38" t="s">
        <v>34</v>
      </c>
      <c r="O66" s="15"/>
      <c r="P66" s="11" t="s">
        <v>67</v>
      </c>
      <c r="Q66" s="40">
        <f t="shared" si="1"/>
        <v>2.8175000000000002E-2</v>
      </c>
      <c r="R66" s="32" t="s">
        <v>44</v>
      </c>
      <c r="S66" s="42">
        <v>2</v>
      </c>
      <c r="T66" s="36">
        <f>56.35/1000</f>
        <v>5.6350000000000004E-2</v>
      </c>
      <c r="U66" s="19" t="s">
        <v>52</v>
      </c>
      <c r="V66" s="12" t="s">
        <v>118</v>
      </c>
    </row>
    <row r="67" spans="1:22" ht="24" x14ac:dyDescent="0.25">
      <c r="A67" s="9">
        <v>52</v>
      </c>
      <c r="B67" s="17">
        <v>44022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8" t="s">
        <v>34</v>
      </c>
      <c r="O67" s="15"/>
      <c r="P67" s="11" t="s">
        <v>68</v>
      </c>
      <c r="Q67" s="40">
        <f t="shared" si="1"/>
        <v>1.09E-2</v>
      </c>
      <c r="R67" s="32" t="s">
        <v>44</v>
      </c>
      <c r="S67" s="42">
        <v>1</v>
      </c>
      <c r="T67" s="36">
        <f>10.9/1000</f>
        <v>1.09E-2</v>
      </c>
      <c r="U67" s="19" t="s">
        <v>52</v>
      </c>
      <c r="V67" s="12" t="s">
        <v>118</v>
      </c>
    </row>
    <row r="68" spans="1:22" ht="36" x14ac:dyDescent="0.25">
      <c r="A68" s="9">
        <v>53</v>
      </c>
      <c r="B68" s="17">
        <v>44022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38" t="s">
        <v>34</v>
      </c>
      <c r="O68" s="15"/>
      <c r="P68" s="16" t="s">
        <v>109</v>
      </c>
      <c r="Q68" s="40">
        <f t="shared" si="1"/>
        <v>1.7675E-2</v>
      </c>
      <c r="R68" s="32" t="s">
        <v>44</v>
      </c>
      <c r="S68" s="42">
        <v>10</v>
      </c>
      <c r="T68" s="36">
        <f>176.75/1000</f>
        <v>0.17674999999999999</v>
      </c>
      <c r="U68" s="19" t="s">
        <v>52</v>
      </c>
      <c r="V68" s="12" t="s">
        <v>118</v>
      </c>
    </row>
    <row r="69" spans="1:22" ht="24" x14ac:dyDescent="0.25">
      <c r="A69" s="9">
        <v>54</v>
      </c>
      <c r="B69" s="17">
        <v>44022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38" t="s">
        <v>34</v>
      </c>
      <c r="O69" s="15"/>
      <c r="P69" s="11" t="s">
        <v>62</v>
      </c>
      <c r="Q69" s="40">
        <f t="shared" si="1"/>
        <v>1.2800000000000001E-2</v>
      </c>
      <c r="R69" s="32" t="s">
        <v>44</v>
      </c>
      <c r="S69" s="31">
        <v>10</v>
      </c>
      <c r="T69" s="36">
        <f>128/1000</f>
        <v>0.128</v>
      </c>
      <c r="U69" s="19" t="s">
        <v>52</v>
      </c>
      <c r="V69" s="12" t="s">
        <v>118</v>
      </c>
    </row>
    <row r="70" spans="1:22" ht="24" x14ac:dyDescent="0.25">
      <c r="A70" s="9">
        <v>55</v>
      </c>
      <c r="B70" s="17">
        <v>44022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8" t="s">
        <v>34</v>
      </c>
      <c r="O70" s="15"/>
      <c r="P70" s="11" t="s">
        <v>73</v>
      </c>
      <c r="Q70" s="40">
        <f t="shared" si="1"/>
        <v>2.3329999999999997E-2</v>
      </c>
      <c r="R70" s="32" t="s">
        <v>44</v>
      </c>
      <c r="S70" s="42">
        <v>1</v>
      </c>
      <c r="T70" s="36">
        <f>23.33/1000</f>
        <v>2.3329999999999997E-2</v>
      </c>
      <c r="U70" s="19" t="s">
        <v>52</v>
      </c>
      <c r="V70" s="12" t="s">
        <v>118</v>
      </c>
    </row>
    <row r="71" spans="1:22" ht="24" x14ac:dyDescent="0.25">
      <c r="A71" s="9">
        <v>56</v>
      </c>
      <c r="B71" s="17">
        <v>44022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38" t="s">
        <v>34</v>
      </c>
      <c r="O71" s="15"/>
      <c r="P71" s="11" t="s">
        <v>72</v>
      </c>
      <c r="Q71" s="40">
        <f t="shared" si="1"/>
        <v>2.2033000000000004E-2</v>
      </c>
      <c r="R71" s="32" t="s">
        <v>44</v>
      </c>
      <c r="S71" s="42">
        <v>10</v>
      </c>
      <c r="T71" s="36">
        <f>220.33/1000</f>
        <v>0.22033000000000003</v>
      </c>
      <c r="U71" s="19" t="s">
        <v>52</v>
      </c>
      <c r="V71" s="12" t="s">
        <v>118</v>
      </c>
    </row>
    <row r="72" spans="1:22" ht="24" x14ac:dyDescent="0.25">
      <c r="A72" s="9">
        <v>57</v>
      </c>
      <c r="B72" s="17">
        <v>44022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38" t="s">
        <v>34</v>
      </c>
      <c r="O72" s="15"/>
      <c r="P72" s="11" t="s">
        <v>96</v>
      </c>
      <c r="Q72" s="40">
        <f t="shared" si="1"/>
        <v>0.20416499999999999</v>
      </c>
      <c r="R72" s="32" t="s">
        <v>44</v>
      </c>
      <c r="S72" s="42">
        <v>2</v>
      </c>
      <c r="T72" s="36">
        <f>408.33/1000</f>
        <v>0.40832999999999997</v>
      </c>
      <c r="U72" s="19" t="s">
        <v>52</v>
      </c>
      <c r="V72" s="12" t="s">
        <v>118</v>
      </c>
    </row>
    <row r="73" spans="1:22" ht="24" x14ac:dyDescent="0.25">
      <c r="A73" s="9">
        <v>58</v>
      </c>
      <c r="B73" s="17">
        <v>44022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8" t="s">
        <v>34</v>
      </c>
      <c r="O73" s="15"/>
      <c r="P73" s="11" t="s">
        <v>98</v>
      </c>
      <c r="Q73" s="40">
        <f t="shared" si="1"/>
        <v>0.17917</v>
      </c>
      <c r="R73" s="32" t="s">
        <v>44</v>
      </c>
      <c r="S73" s="42">
        <v>1</v>
      </c>
      <c r="T73" s="36">
        <f>179.17/1000</f>
        <v>0.17917</v>
      </c>
      <c r="U73" s="19" t="s">
        <v>52</v>
      </c>
      <c r="V73" s="12" t="s">
        <v>118</v>
      </c>
    </row>
    <row r="74" spans="1:22" ht="24" x14ac:dyDescent="0.25">
      <c r="A74" s="9">
        <v>59</v>
      </c>
      <c r="B74" s="17">
        <v>44022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38" t="s">
        <v>34</v>
      </c>
      <c r="O74" s="15"/>
      <c r="P74" s="11" t="s">
        <v>123</v>
      </c>
      <c r="Q74" s="40">
        <f t="shared" si="1"/>
        <v>2.5835E-2</v>
      </c>
      <c r="R74" s="32" t="s">
        <v>44</v>
      </c>
      <c r="S74" s="42">
        <v>2</v>
      </c>
      <c r="T74" s="36">
        <f>51.67/1000</f>
        <v>5.1670000000000001E-2</v>
      </c>
      <c r="U74" s="19" t="s">
        <v>52</v>
      </c>
      <c r="V74" s="12" t="s">
        <v>118</v>
      </c>
    </row>
    <row r="75" spans="1:22" ht="24" x14ac:dyDescent="0.25">
      <c r="A75" s="9">
        <v>60</v>
      </c>
      <c r="B75" s="20">
        <v>44025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38" t="s">
        <v>34</v>
      </c>
      <c r="O75" s="15"/>
      <c r="P75" s="11" t="s">
        <v>116</v>
      </c>
      <c r="Q75" s="40">
        <f t="shared" si="1"/>
        <v>2.2402500000000001</v>
      </c>
      <c r="R75" s="32" t="s">
        <v>44</v>
      </c>
      <c r="S75" s="42">
        <v>2</v>
      </c>
      <c r="T75" s="36">
        <f>4480.5/1000</f>
        <v>4.4805000000000001</v>
      </c>
      <c r="U75" s="19" t="s">
        <v>52</v>
      </c>
      <c r="V75" s="12" t="s">
        <v>115</v>
      </c>
    </row>
    <row r="76" spans="1:22" ht="36" x14ac:dyDescent="0.25">
      <c r="A76" s="9">
        <v>61</v>
      </c>
      <c r="B76" s="17">
        <v>44025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38" t="s">
        <v>34</v>
      </c>
      <c r="O76" s="15"/>
      <c r="P76" s="11" t="s">
        <v>117</v>
      </c>
      <c r="Q76" s="40">
        <f t="shared" si="1"/>
        <v>4.772335</v>
      </c>
      <c r="R76" s="32" t="s">
        <v>44</v>
      </c>
      <c r="S76" s="42">
        <v>2</v>
      </c>
      <c r="T76" s="36">
        <f>9544.67/1000</f>
        <v>9.54467</v>
      </c>
      <c r="U76" s="19" t="s">
        <v>52</v>
      </c>
      <c r="V76" s="12" t="s">
        <v>115</v>
      </c>
    </row>
    <row r="77" spans="1:22" ht="24" x14ac:dyDescent="0.25">
      <c r="A77" s="9">
        <v>62</v>
      </c>
      <c r="B77" s="17">
        <v>44026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8" t="s">
        <v>34</v>
      </c>
      <c r="O77" s="15"/>
      <c r="P77" s="11" t="s">
        <v>113</v>
      </c>
      <c r="Q77" s="40">
        <f t="shared" si="1"/>
        <v>0.7611</v>
      </c>
      <c r="R77" s="32" t="s">
        <v>44</v>
      </c>
      <c r="S77" s="42">
        <v>2</v>
      </c>
      <c r="T77" s="36">
        <f>1522.2/1000</f>
        <v>1.5222</v>
      </c>
      <c r="U77" s="19" t="s">
        <v>58</v>
      </c>
      <c r="V77" s="12" t="s">
        <v>112</v>
      </c>
    </row>
    <row r="78" spans="1:22" ht="24" x14ac:dyDescent="0.25">
      <c r="A78" s="9">
        <v>63</v>
      </c>
      <c r="B78" s="17">
        <v>44026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38" t="s">
        <v>34</v>
      </c>
      <c r="O78" s="15"/>
      <c r="P78" s="11" t="s">
        <v>114</v>
      </c>
      <c r="Q78" s="40">
        <f t="shared" ref="Q78:Q99" si="2">T78/S78</f>
        <v>0.95099999999999996</v>
      </c>
      <c r="R78" s="32" t="s">
        <v>44</v>
      </c>
      <c r="S78" s="42">
        <v>10</v>
      </c>
      <c r="T78" s="36">
        <f>9510/1000</f>
        <v>9.51</v>
      </c>
      <c r="U78" s="19" t="s">
        <v>58</v>
      </c>
      <c r="V78" s="12" t="s">
        <v>112</v>
      </c>
    </row>
    <row r="79" spans="1:22" ht="24" x14ac:dyDescent="0.25">
      <c r="A79" s="9">
        <v>64</v>
      </c>
      <c r="B79" s="17">
        <v>44029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8" t="s">
        <v>34</v>
      </c>
      <c r="O79" s="15"/>
      <c r="P79" s="11" t="s">
        <v>105</v>
      </c>
      <c r="Q79" s="40">
        <f t="shared" si="2"/>
        <v>1.4583299999999999</v>
      </c>
      <c r="R79" s="32" t="s">
        <v>44</v>
      </c>
      <c r="S79" s="42">
        <v>1</v>
      </c>
      <c r="T79" s="36">
        <f>1458.33/1000</f>
        <v>1.4583299999999999</v>
      </c>
      <c r="U79" s="7" t="s">
        <v>52</v>
      </c>
      <c r="V79" s="12" t="s">
        <v>111</v>
      </c>
    </row>
    <row r="80" spans="1:22" ht="24" x14ac:dyDescent="0.25">
      <c r="A80" s="9">
        <v>65</v>
      </c>
      <c r="B80" s="17">
        <v>44029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38" t="s">
        <v>34</v>
      </c>
      <c r="O80" s="15"/>
      <c r="P80" s="11" t="s">
        <v>106</v>
      </c>
      <c r="Q80" s="40">
        <f t="shared" si="2"/>
        <v>8.1600000000000006E-3</v>
      </c>
      <c r="R80" s="32" t="s">
        <v>44</v>
      </c>
      <c r="S80" s="42">
        <v>2</v>
      </c>
      <c r="T80" s="36">
        <f>16.32/1000</f>
        <v>1.6320000000000001E-2</v>
      </c>
      <c r="U80" s="7" t="s">
        <v>52</v>
      </c>
      <c r="V80" s="12" t="s">
        <v>111</v>
      </c>
    </row>
    <row r="81" spans="1:22" ht="24" x14ac:dyDescent="0.25">
      <c r="A81" s="9">
        <v>66</v>
      </c>
      <c r="B81" s="17">
        <v>44029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38" t="s">
        <v>34</v>
      </c>
      <c r="O81" s="15"/>
      <c r="P81" s="11" t="s">
        <v>56</v>
      </c>
      <c r="Q81" s="40">
        <f t="shared" si="2"/>
        <v>0.125</v>
      </c>
      <c r="R81" s="32" t="s">
        <v>44</v>
      </c>
      <c r="S81" s="42">
        <v>1</v>
      </c>
      <c r="T81" s="36">
        <f>125/1000</f>
        <v>0.125</v>
      </c>
      <c r="U81" s="19" t="s">
        <v>52</v>
      </c>
      <c r="V81" s="12" t="s">
        <v>111</v>
      </c>
    </row>
    <row r="82" spans="1:22" ht="24" x14ac:dyDescent="0.25">
      <c r="A82" s="9">
        <v>67</v>
      </c>
      <c r="B82" s="17">
        <v>44029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38" t="s">
        <v>34</v>
      </c>
      <c r="O82" s="15"/>
      <c r="P82" s="11" t="s">
        <v>74</v>
      </c>
      <c r="Q82" s="24">
        <f t="shared" si="2"/>
        <v>2.375</v>
      </c>
      <c r="R82" s="32" t="s">
        <v>44</v>
      </c>
      <c r="S82" s="33">
        <v>1</v>
      </c>
      <c r="T82" s="36">
        <f>2375/1000</f>
        <v>2.375</v>
      </c>
      <c r="U82" s="19" t="s">
        <v>52</v>
      </c>
      <c r="V82" s="12" t="s">
        <v>111</v>
      </c>
    </row>
    <row r="83" spans="1:22" ht="24" x14ac:dyDescent="0.25">
      <c r="A83" s="9">
        <v>68</v>
      </c>
      <c r="B83" s="17">
        <v>44029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8" t="s">
        <v>34</v>
      </c>
      <c r="O83" s="15"/>
      <c r="P83" s="11" t="s">
        <v>65</v>
      </c>
      <c r="Q83" s="40">
        <f t="shared" si="2"/>
        <v>3.1734999999999999E-2</v>
      </c>
      <c r="R83" s="32" t="s">
        <v>44</v>
      </c>
      <c r="S83" s="42">
        <v>2</v>
      </c>
      <c r="T83" s="36">
        <f>63.47/1000</f>
        <v>6.3469999999999999E-2</v>
      </c>
      <c r="U83" s="19" t="s">
        <v>52</v>
      </c>
      <c r="V83" s="12" t="s">
        <v>111</v>
      </c>
    </row>
    <row r="84" spans="1:22" ht="24" x14ac:dyDescent="0.25">
      <c r="A84" s="9">
        <v>69</v>
      </c>
      <c r="B84" s="17">
        <v>44029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38" t="s">
        <v>34</v>
      </c>
      <c r="O84" s="15"/>
      <c r="P84" s="11" t="s">
        <v>66</v>
      </c>
      <c r="Q84" s="40">
        <f t="shared" si="2"/>
        <v>2.52E-2</v>
      </c>
      <c r="R84" s="32" t="s">
        <v>44</v>
      </c>
      <c r="S84" s="42">
        <v>2</v>
      </c>
      <c r="T84" s="36">
        <f>50.4/1000</f>
        <v>5.04E-2</v>
      </c>
      <c r="U84" s="19" t="s">
        <v>52</v>
      </c>
      <c r="V84" s="12" t="s">
        <v>111</v>
      </c>
    </row>
    <row r="85" spans="1:22" ht="24" x14ac:dyDescent="0.25">
      <c r="A85" s="9">
        <v>70</v>
      </c>
      <c r="B85" s="17">
        <v>44029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38" t="s">
        <v>34</v>
      </c>
      <c r="O85" s="15"/>
      <c r="P85" s="11" t="s">
        <v>67</v>
      </c>
      <c r="Q85" s="40">
        <f t="shared" si="2"/>
        <v>2.8175000000000002E-2</v>
      </c>
      <c r="R85" s="32" t="s">
        <v>44</v>
      </c>
      <c r="S85" s="42">
        <v>2</v>
      </c>
      <c r="T85" s="36">
        <f>56.35/1000</f>
        <v>5.6350000000000004E-2</v>
      </c>
      <c r="U85" s="7" t="s">
        <v>52</v>
      </c>
      <c r="V85" s="12" t="s">
        <v>111</v>
      </c>
    </row>
    <row r="86" spans="1:22" ht="24" x14ac:dyDescent="0.25">
      <c r="A86" s="9">
        <v>71</v>
      </c>
      <c r="B86" s="17">
        <v>44029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8" t="s">
        <v>34</v>
      </c>
      <c r="O86" s="15"/>
      <c r="P86" s="11" t="s">
        <v>64</v>
      </c>
      <c r="Q86" s="40">
        <f t="shared" si="2"/>
        <v>1.3067500000000001E-2</v>
      </c>
      <c r="R86" s="32" t="s">
        <v>44</v>
      </c>
      <c r="S86" s="42">
        <v>4</v>
      </c>
      <c r="T86" s="36">
        <f>52.27/1000</f>
        <v>5.2270000000000004E-2</v>
      </c>
      <c r="U86" s="19" t="s">
        <v>52</v>
      </c>
      <c r="V86" s="12" t="s">
        <v>111</v>
      </c>
    </row>
    <row r="87" spans="1:22" ht="24" x14ac:dyDescent="0.25">
      <c r="A87" s="9">
        <v>72</v>
      </c>
      <c r="B87" s="17">
        <v>44029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38" t="s">
        <v>34</v>
      </c>
      <c r="O87" s="15"/>
      <c r="P87" s="11" t="s">
        <v>107</v>
      </c>
      <c r="Q87" s="40">
        <f t="shared" si="2"/>
        <v>0.24167</v>
      </c>
      <c r="R87" s="32" t="s">
        <v>44</v>
      </c>
      <c r="S87" s="42">
        <v>1</v>
      </c>
      <c r="T87" s="36">
        <f>241.67/1000</f>
        <v>0.24167</v>
      </c>
      <c r="U87" s="19" t="s">
        <v>52</v>
      </c>
      <c r="V87" s="12" t="s">
        <v>111</v>
      </c>
    </row>
    <row r="88" spans="1:22" ht="24" x14ac:dyDescent="0.25">
      <c r="A88" s="9">
        <v>73</v>
      </c>
      <c r="B88" s="17">
        <v>44029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38" t="s">
        <v>34</v>
      </c>
      <c r="O88" s="15"/>
      <c r="P88" s="11" t="s">
        <v>108</v>
      </c>
      <c r="Q88" s="40">
        <f t="shared" si="2"/>
        <v>1.32175E-2</v>
      </c>
      <c r="R88" s="32" t="s">
        <v>44</v>
      </c>
      <c r="S88" s="31">
        <v>4</v>
      </c>
      <c r="T88" s="46">
        <f>52.87/1000</f>
        <v>5.287E-2</v>
      </c>
      <c r="U88" s="19" t="s">
        <v>52</v>
      </c>
      <c r="V88" s="12" t="s">
        <v>111</v>
      </c>
    </row>
    <row r="89" spans="1:22" ht="36" x14ac:dyDescent="0.25">
      <c r="A89" s="9">
        <v>74</v>
      </c>
      <c r="B89" s="17">
        <v>44029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38" t="s">
        <v>34</v>
      </c>
      <c r="O89" s="15"/>
      <c r="P89" s="16" t="s">
        <v>109</v>
      </c>
      <c r="Q89" s="40">
        <f t="shared" si="2"/>
        <v>1.7674000000000002E-2</v>
      </c>
      <c r="R89" s="32" t="s">
        <v>44</v>
      </c>
      <c r="S89" s="31">
        <v>5</v>
      </c>
      <c r="T89" s="46">
        <f>88.37/1000</f>
        <v>8.8370000000000004E-2</v>
      </c>
      <c r="U89" s="19" t="s">
        <v>52</v>
      </c>
      <c r="V89" s="12" t="s">
        <v>111</v>
      </c>
    </row>
    <row r="90" spans="1:22" ht="36" x14ac:dyDescent="0.25">
      <c r="A90" s="9">
        <v>75</v>
      </c>
      <c r="B90" s="17">
        <v>44029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38" t="s">
        <v>34</v>
      </c>
      <c r="O90" s="15"/>
      <c r="P90" s="11" t="s">
        <v>71</v>
      </c>
      <c r="Q90" s="40">
        <f t="shared" si="2"/>
        <v>1.4749999999999999E-2</v>
      </c>
      <c r="R90" s="32" t="s">
        <v>44</v>
      </c>
      <c r="S90" s="42">
        <v>3</v>
      </c>
      <c r="T90" s="36">
        <f>44.25/1000</f>
        <v>4.4249999999999998E-2</v>
      </c>
      <c r="U90" s="19" t="s">
        <v>52</v>
      </c>
      <c r="V90" s="12" t="s">
        <v>111</v>
      </c>
    </row>
    <row r="91" spans="1:22" ht="24" x14ac:dyDescent="0.25">
      <c r="A91" s="9">
        <v>76</v>
      </c>
      <c r="B91" s="17">
        <v>44029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48" t="s">
        <v>34</v>
      </c>
      <c r="O91" s="15"/>
      <c r="P91" s="11" t="s">
        <v>73</v>
      </c>
      <c r="Q91" s="40">
        <f t="shared" si="2"/>
        <v>2.3329999999999997E-2</v>
      </c>
      <c r="R91" s="32" t="s">
        <v>44</v>
      </c>
      <c r="S91" s="42">
        <v>1</v>
      </c>
      <c r="T91" s="36">
        <f>23.33/1000</f>
        <v>2.3329999999999997E-2</v>
      </c>
      <c r="U91" s="19" t="s">
        <v>52</v>
      </c>
      <c r="V91" s="12" t="s">
        <v>111</v>
      </c>
    </row>
    <row r="92" spans="1:22" ht="24" x14ac:dyDescent="0.25">
      <c r="A92" s="9">
        <v>77</v>
      </c>
      <c r="B92" s="17">
        <v>44029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38" t="s">
        <v>34</v>
      </c>
      <c r="O92" s="15"/>
      <c r="P92" s="11" t="s">
        <v>69</v>
      </c>
      <c r="Q92" s="40">
        <f t="shared" si="2"/>
        <v>7.5799999999999999E-3</v>
      </c>
      <c r="R92" s="32" t="s">
        <v>44</v>
      </c>
      <c r="S92" s="42">
        <v>1</v>
      </c>
      <c r="T92" s="36">
        <f>7.58/1000</f>
        <v>7.5799999999999999E-3</v>
      </c>
      <c r="U92" s="19" t="s">
        <v>52</v>
      </c>
      <c r="V92" s="12" t="s">
        <v>111</v>
      </c>
    </row>
    <row r="93" spans="1:22" ht="24" x14ac:dyDescent="0.25">
      <c r="A93" s="9">
        <v>78</v>
      </c>
      <c r="B93" s="17">
        <v>44029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38" t="s">
        <v>34</v>
      </c>
      <c r="O93" s="15"/>
      <c r="P93" s="11" t="s">
        <v>68</v>
      </c>
      <c r="Q93" s="40">
        <f t="shared" si="2"/>
        <v>1.09E-2</v>
      </c>
      <c r="R93" s="32" t="s">
        <v>44</v>
      </c>
      <c r="S93" s="42">
        <v>1</v>
      </c>
      <c r="T93" s="36">
        <f>10.9/1000</f>
        <v>1.09E-2</v>
      </c>
      <c r="U93" s="19" t="s">
        <v>52</v>
      </c>
      <c r="V93" s="12" t="s">
        <v>111</v>
      </c>
    </row>
    <row r="94" spans="1:22" ht="24" x14ac:dyDescent="0.25">
      <c r="A94" s="9">
        <v>79</v>
      </c>
      <c r="B94" s="17">
        <v>44029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38" t="s">
        <v>34</v>
      </c>
      <c r="O94" s="15"/>
      <c r="P94" s="11" t="s">
        <v>110</v>
      </c>
      <c r="Q94" s="40">
        <f t="shared" si="2"/>
        <v>0.15346799999999999</v>
      </c>
      <c r="R94" s="32" t="s">
        <v>44</v>
      </c>
      <c r="S94" s="42">
        <v>2.5</v>
      </c>
      <c r="T94" s="36">
        <f>383.67/1000</f>
        <v>0.38367000000000001</v>
      </c>
      <c r="U94" s="19" t="s">
        <v>52</v>
      </c>
      <c r="V94" s="12" t="s">
        <v>111</v>
      </c>
    </row>
    <row r="95" spans="1:22" ht="30" customHeight="1" x14ac:dyDescent="0.25">
      <c r="A95" s="9">
        <v>80</v>
      </c>
      <c r="B95" s="17">
        <v>44033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38" t="s">
        <v>34</v>
      </c>
      <c r="O95" s="15"/>
      <c r="P95" s="11" t="s">
        <v>99</v>
      </c>
      <c r="Q95" s="40">
        <f t="shared" si="2"/>
        <v>3.4166699999999999</v>
      </c>
      <c r="R95" s="32" t="s">
        <v>44</v>
      </c>
      <c r="S95" s="42">
        <v>1</v>
      </c>
      <c r="T95" s="36">
        <f>3416.67/1000</f>
        <v>3.4166699999999999</v>
      </c>
      <c r="U95" s="19" t="s">
        <v>100</v>
      </c>
      <c r="V95" s="12" t="s">
        <v>101</v>
      </c>
    </row>
    <row r="96" spans="1:22" ht="24" x14ac:dyDescent="0.25">
      <c r="A96" s="9">
        <v>81</v>
      </c>
      <c r="B96" s="17">
        <v>44033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38" t="s">
        <v>34</v>
      </c>
      <c r="O96" s="15"/>
      <c r="P96" s="11" t="s">
        <v>102</v>
      </c>
      <c r="Q96" s="40">
        <f t="shared" si="2"/>
        <v>3.4166699999999999</v>
      </c>
      <c r="R96" s="32" t="s">
        <v>44</v>
      </c>
      <c r="S96" s="42">
        <v>1</v>
      </c>
      <c r="T96" s="36">
        <f>3416.67/1000</f>
        <v>3.4166699999999999</v>
      </c>
      <c r="U96" s="19" t="s">
        <v>100</v>
      </c>
      <c r="V96" s="12" t="s">
        <v>101</v>
      </c>
    </row>
    <row r="97" spans="1:22" x14ac:dyDescent="0.25">
      <c r="A97" s="9">
        <v>82</v>
      </c>
      <c r="B97" s="17">
        <v>44033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38" t="s">
        <v>34</v>
      </c>
      <c r="O97" s="15"/>
      <c r="P97" s="11" t="s">
        <v>103</v>
      </c>
      <c r="Q97" s="40">
        <f t="shared" si="2"/>
        <v>0.79166499999999995</v>
      </c>
      <c r="R97" s="32" t="s">
        <v>44</v>
      </c>
      <c r="S97" s="42">
        <v>2</v>
      </c>
      <c r="T97" s="36">
        <f>1583.33/1000</f>
        <v>1.5833299999999999</v>
      </c>
      <c r="U97" s="19" t="s">
        <v>100</v>
      </c>
      <c r="V97" s="12" t="s">
        <v>104</v>
      </c>
    </row>
    <row r="98" spans="1:22" ht="24" x14ac:dyDescent="0.25">
      <c r="A98" s="9">
        <v>83</v>
      </c>
      <c r="B98" s="17">
        <v>44036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38" t="s">
        <v>34</v>
      </c>
      <c r="O98" s="15"/>
      <c r="P98" s="11" t="s">
        <v>96</v>
      </c>
      <c r="Q98" s="40">
        <f t="shared" si="2"/>
        <v>0.20416999999999999</v>
      </c>
      <c r="R98" s="32" t="s">
        <v>44</v>
      </c>
      <c r="S98" s="42">
        <v>1</v>
      </c>
      <c r="T98" s="36">
        <f>204.17/1000</f>
        <v>0.20416999999999999</v>
      </c>
      <c r="U98" s="19" t="s">
        <v>52</v>
      </c>
      <c r="V98" s="12" t="s">
        <v>97</v>
      </c>
    </row>
    <row r="99" spans="1:22" ht="24" x14ac:dyDescent="0.25">
      <c r="A99" s="9">
        <v>84</v>
      </c>
      <c r="B99" s="17">
        <v>44036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38" t="s">
        <v>34</v>
      </c>
      <c r="O99" s="15"/>
      <c r="P99" s="11" t="s">
        <v>98</v>
      </c>
      <c r="Q99" s="40">
        <f t="shared" si="2"/>
        <v>0.17917</v>
      </c>
      <c r="R99" s="32" t="s">
        <v>44</v>
      </c>
      <c r="S99" s="42">
        <v>1</v>
      </c>
      <c r="T99" s="36">
        <f>179.17/1000</f>
        <v>0.17917</v>
      </c>
      <c r="U99" s="19" t="s">
        <v>52</v>
      </c>
      <c r="V99" s="12" t="s">
        <v>97</v>
      </c>
    </row>
    <row r="100" spans="1:22" ht="24" x14ac:dyDescent="0.25">
      <c r="A100" s="9">
        <v>85</v>
      </c>
      <c r="B100" s="17">
        <v>44041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38" t="s">
        <v>34</v>
      </c>
      <c r="O100" s="15"/>
      <c r="P100" s="11" t="s">
        <v>93</v>
      </c>
      <c r="Q100" s="40">
        <f>T100</f>
        <v>5.5865100000000005</v>
      </c>
      <c r="R100" s="32" t="s">
        <v>44</v>
      </c>
      <c r="S100" s="42">
        <v>1</v>
      </c>
      <c r="T100" s="36">
        <f>5586.51/1000</f>
        <v>5.5865100000000005</v>
      </c>
      <c r="U100" s="19" t="s">
        <v>94</v>
      </c>
      <c r="V100" s="12" t="s">
        <v>95</v>
      </c>
    </row>
    <row r="101" spans="1:22" ht="24" x14ac:dyDescent="0.25">
      <c r="A101" s="9">
        <v>86</v>
      </c>
      <c r="B101" s="17">
        <v>44043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38" t="s">
        <v>34</v>
      </c>
      <c r="O101" s="15"/>
      <c r="P101" s="11" t="s">
        <v>53</v>
      </c>
      <c r="Q101" s="40">
        <f>T101</f>
        <v>0.69</v>
      </c>
      <c r="R101" s="32" t="s">
        <v>41</v>
      </c>
      <c r="S101" s="42">
        <v>1</v>
      </c>
      <c r="T101" s="36">
        <f>690/1000</f>
        <v>0.69</v>
      </c>
      <c r="U101" s="19" t="s">
        <v>42</v>
      </c>
      <c r="V101" s="12" t="s">
        <v>80</v>
      </c>
    </row>
    <row r="102" spans="1:22" ht="24" x14ac:dyDescent="0.25">
      <c r="A102" s="9">
        <v>87</v>
      </c>
      <c r="B102" s="17">
        <v>44043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38" t="s">
        <v>34</v>
      </c>
      <c r="O102" s="15"/>
      <c r="P102" s="11" t="s">
        <v>63</v>
      </c>
      <c r="Q102" s="28" t="s">
        <v>37</v>
      </c>
      <c r="R102" s="23" t="s">
        <v>37</v>
      </c>
      <c r="S102" s="31" t="s">
        <v>37</v>
      </c>
      <c r="T102" s="36">
        <f>1000/1000</f>
        <v>1</v>
      </c>
      <c r="U102" s="19" t="s">
        <v>43</v>
      </c>
      <c r="V102" s="12" t="s">
        <v>148</v>
      </c>
    </row>
    <row r="103" spans="1:22" ht="24" x14ac:dyDescent="0.25">
      <c r="A103" s="9">
        <v>88</v>
      </c>
      <c r="B103" s="17">
        <v>44043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38" t="s">
        <v>34</v>
      </c>
      <c r="O103" s="15"/>
      <c r="P103" s="11" t="s">
        <v>55</v>
      </c>
      <c r="Q103" s="28" t="s">
        <v>37</v>
      </c>
      <c r="R103" s="23" t="s">
        <v>37</v>
      </c>
      <c r="S103" s="31" t="s">
        <v>37</v>
      </c>
      <c r="T103" s="36">
        <f>127.36/1000</f>
        <v>0.12736</v>
      </c>
      <c r="U103" s="64" t="s">
        <v>38</v>
      </c>
      <c r="V103" s="12" t="s">
        <v>149</v>
      </c>
    </row>
    <row r="104" spans="1:22" ht="36" x14ac:dyDescent="0.25">
      <c r="A104" s="9">
        <v>89</v>
      </c>
      <c r="B104" s="17">
        <v>44043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38" t="s">
        <v>34</v>
      </c>
      <c r="O104" s="15"/>
      <c r="P104" s="11" t="s">
        <v>81</v>
      </c>
      <c r="Q104" s="40">
        <f>T104</f>
        <v>1.9991700000000001</v>
      </c>
      <c r="R104" s="32" t="s">
        <v>44</v>
      </c>
      <c r="S104" s="42">
        <v>1</v>
      </c>
      <c r="T104" s="36">
        <f>1999.17/1000</f>
        <v>1.9991700000000001</v>
      </c>
      <c r="U104" s="19" t="s">
        <v>82</v>
      </c>
      <c r="V104" s="12" t="s">
        <v>83</v>
      </c>
    </row>
    <row r="105" spans="1:22" x14ac:dyDescent="0.25">
      <c r="A105" s="9">
        <v>90</v>
      </c>
      <c r="B105" s="17">
        <v>44043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38" t="s">
        <v>34</v>
      </c>
      <c r="O105" s="15"/>
      <c r="P105" s="11" t="s">
        <v>86</v>
      </c>
      <c r="Q105" s="40">
        <f>T105/S105</f>
        <v>0.42</v>
      </c>
      <c r="R105" s="32" t="s">
        <v>44</v>
      </c>
      <c r="S105" s="42">
        <v>4</v>
      </c>
      <c r="T105" s="36">
        <f>1680/1000</f>
        <v>1.68</v>
      </c>
      <c r="U105" s="19" t="s">
        <v>84</v>
      </c>
      <c r="V105" s="12" t="s">
        <v>85</v>
      </c>
    </row>
    <row r="106" spans="1:22" x14ac:dyDescent="0.25">
      <c r="A106" s="9">
        <v>91</v>
      </c>
      <c r="B106" s="17">
        <v>44043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38" t="s">
        <v>34</v>
      </c>
      <c r="O106" s="15"/>
      <c r="P106" s="11" t="s">
        <v>87</v>
      </c>
      <c r="Q106" s="40">
        <f>T106/S106</f>
        <v>0.3</v>
      </c>
      <c r="R106" s="32" t="s">
        <v>44</v>
      </c>
      <c r="S106" s="42">
        <v>4</v>
      </c>
      <c r="T106" s="36">
        <f>1200/1000</f>
        <v>1.2</v>
      </c>
      <c r="U106" s="19" t="s">
        <v>84</v>
      </c>
      <c r="V106" s="12" t="s">
        <v>85</v>
      </c>
    </row>
    <row r="107" spans="1:22" ht="24" x14ac:dyDescent="0.25">
      <c r="A107" s="9">
        <v>92</v>
      </c>
      <c r="B107" s="17">
        <v>44043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38" t="s">
        <v>34</v>
      </c>
      <c r="O107" s="15"/>
      <c r="P107" s="11" t="s">
        <v>88</v>
      </c>
      <c r="Q107" s="40">
        <f>T107/S107</f>
        <v>4.5306499999999996</v>
      </c>
      <c r="R107" s="32" t="s">
        <v>44</v>
      </c>
      <c r="S107" s="42">
        <v>1</v>
      </c>
      <c r="T107" s="36">
        <f>4530.65/1000</f>
        <v>4.5306499999999996</v>
      </c>
      <c r="U107" s="19" t="s">
        <v>84</v>
      </c>
      <c r="V107" s="12" t="s">
        <v>85</v>
      </c>
    </row>
    <row r="108" spans="1:22" x14ac:dyDescent="0.25">
      <c r="A108" s="9">
        <v>93</v>
      </c>
      <c r="B108" s="17">
        <v>44043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38" t="s">
        <v>34</v>
      </c>
      <c r="O108" s="15"/>
      <c r="P108" s="11" t="s">
        <v>89</v>
      </c>
      <c r="Q108" s="40">
        <f>T108/S108</f>
        <v>1.9667500000000001E-2</v>
      </c>
      <c r="R108" s="32" t="s">
        <v>44</v>
      </c>
      <c r="S108" s="42">
        <v>4</v>
      </c>
      <c r="T108" s="36">
        <f>78.67/1000</f>
        <v>7.8670000000000004E-2</v>
      </c>
      <c r="U108" s="19" t="s">
        <v>84</v>
      </c>
      <c r="V108" s="12" t="s">
        <v>85</v>
      </c>
    </row>
    <row r="109" spans="1:22" ht="24" x14ac:dyDescent="0.25">
      <c r="A109" s="9">
        <v>94</v>
      </c>
      <c r="B109" s="17">
        <v>44043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38" t="s">
        <v>34</v>
      </c>
      <c r="O109" s="15"/>
      <c r="P109" s="11" t="s">
        <v>50</v>
      </c>
      <c r="Q109" s="28" t="s">
        <v>37</v>
      </c>
      <c r="R109" s="23" t="s">
        <v>37</v>
      </c>
      <c r="S109" s="31" t="s">
        <v>37</v>
      </c>
      <c r="T109" s="36">
        <f>34.58/1000</f>
        <v>3.458E-2</v>
      </c>
      <c r="U109" s="62" t="s">
        <v>40</v>
      </c>
      <c r="V109" s="12" t="s">
        <v>90</v>
      </c>
    </row>
    <row r="110" spans="1:22" ht="24" x14ac:dyDescent="0.25">
      <c r="A110" s="9">
        <v>95</v>
      </c>
      <c r="B110" s="17">
        <v>44043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38" t="s">
        <v>34</v>
      </c>
      <c r="O110" s="15"/>
      <c r="P110" s="11" t="s">
        <v>50</v>
      </c>
      <c r="Q110" s="58">
        <f>T110</f>
        <v>9.1999999999999998E-2</v>
      </c>
      <c r="R110" s="23" t="s">
        <v>37</v>
      </c>
      <c r="S110" s="31" t="s">
        <v>37</v>
      </c>
      <c r="T110" s="36">
        <f>92/1000</f>
        <v>9.1999999999999998E-2</v>
      </c>
      <c r="U110" s="62" t="s">
        <v>40</v>
      </c>
      <c r="V110" s="12" t="s">
        <v>91</v>
      </c>
    </row>
    <row r="111" spans="1:22" ht="24" x14ac:dyDescent="0.25">
      <c r="A111" s="9">
        <v>96</v>
      </c>
      <c r="B111" s="17">
        <v>44043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38" t="s">
        <v>34</v>
      </c>
      <c r="O111" s="15"/>
      <c r="P111" s="11" t="s">
        <v>50</v>
      </c>
      <c r="Q111" s="58">
        <f>T111</f>
        <v>6.8593299999999999</v>
      </c>
      <c r="R111" s="23" t="s">
        <v>37</v>
      </c>
      <c r="S111" s="23" t="s">
        <v>37</v>
      </c>
      <c r="T111" s="34">
        <f>6859.33/1000</f>
        <v>6.8593299999999999</v>
      </c>
      <c r="U111" s="62" t="s">
        <v>40</v>
      </c>
      <c r="V111" s="12" t="s">
        <v>92</v>
      </c>
    </row>
    <row r="112" spans="1:22" x14ac:dyDescent="0.25">
      <c r="A112" s="9">
        <v>97</v>
      </c>
      <c r="B112" s="17">
        <v>44043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48" t="s">
        <v>34</v>
      </c>
      <c r="O112" s="80"/>
      <c r="P112" s="11" t="s">
        <v>45</v>
      </c>
      <c r="Q112" s="57">
        <f>T112</f>
        <v>1.18</v>
      </c>
      <c r="R112" s="66" t="s">
        <v>37</v>
      </c>
      <c r="S112" s="41">
        <v>1</v>
      </c>
      <c r="T112" s="35">
        <f>1180/1000</f>
        <v>1.18</v>
      </c>
      <c r="U112" s="7" t="s">
        <v>46</v>
      </c>
      <c r="V112" s="12" t="s">
        <v>151</v>
      </c>
    </row>
    <row r="113" spans="1:22" ht="24" x14ac:dyDescent="0.25">
      <c r="A113" s="9">
        <v>98</v>
      </c>
      <c r="B113" s="17">
        <v>44043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48" t="s">
        <v>34</v>
      </c>
      <c r="O113" s="80"/>
      <c r="P113" s="11" t="s">
        <v>54</v>
      </c>
      <c r="Q113" s="69">
        <f>T113/S113</f>
        <v>3.2985183673469386E-2</v>
      </c>
      <c r="R113" s="66" t="s">
        <v>48</v>
      </c>
      <c r="S113" s="41">
        <f>20+140+85</f>
        <v>245</v>
      </c>
      <c r="T113" s="53">
        <f>8081.37/1000</f>
        <v>8.0813699999999997</v>
      </c>
      <c r="U113" s="79" t="s">
        <v>51</v>
      </c>
      <c r="V113" s="12" t="s">
        <v>153</v>
      </c>
    </row>
    <row r="114" spans="1:22" ht="24" x14ac:dyDescent="0.25">
      <c r="A114" s="9">
        <v>99</v>
      </c>
      <c r="B114" s="17">
        <v>44043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48" t="s">
        <v>34</v>
      </c>
      <c r="O114" s="80"/>
      <c r="P114" s="11" t="s">
        <v>47</v>
      </c>
      <c r="Q114" s="23" t="s">
        <v>37</v>
      </c>
      <c r="R114" s="23" t="s">
        <v>37</v>
      </c>
      <c r="S114" s="23" t="s">
        <v>37</v>
      </c>
      <c r="T114" s="30">
        <f>303.05/1000</f>
        <v>0.30304999999999999</v>
      </c>
      <c r="U114" s="16" t="s">
        <v>51</v>
      </c>
      <c r="V114" s="12" t="s">
        <v>154</v>
      </c>
    </row>
    <row r="115" spans="1:22" ht="24" x14ac:dyDescent="0.25">
      <c r="A115" s="9">
        <v>100</v>
      </c>
      <c r="B115" s="17">
        <v>44043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48" t="s">
        <v>34</v>
      </c>
      <c r="O115" s="80"/>
      <c r="P115" s="11" t="s">
        <v>50</v>
      </c>
      <c r="Q115" s="77">
        <f>T115</f>
        <v>0.19005000000000002</v>
      </c>
      <c r="R115" s="31" t="s">
        <v>35</v>
      </c>
      <c r="S115" s="61">
        <v>1</v>
      </c>
      <c r="T115" s="67">
        <f>190.05/1000</f>
        <v>0.19005000000000002</v>
      </c>
      <c r="U115" s="78" t="s">
        <v>36</v>
      </c>
      <c r="V115" s="12" t="s">
        <v>150</v>
      </c>
    </row>
    <row r="116" spans="1:22" ht="24" x14ac:dyDescent="0.25">
      <c r="A116" s="9">
        <v>101</v>
      </c>
      <c r="B116" s="17">
        <v>44043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48" t="s">
        <v>34</v>
      </c>
      <c r="O116" s="80"/>
      <c r="P116" s="11" t="s">
        <v>50</v>
      </c>
      <c r="Q116" s="58">
        <f>T116</f>
        <v>3.1080399999999999</v>
      </c>
      <c r="R116" s="23" t="s">
        <v>37</v>
      </c>
      <c r="S116" s="23" t="s">
        <v>37</v>
      </c>
      <c r="T116" s="30">
        <f>3108.04/1000</f>
        <v>3.1080399999999999</v>
      </c>
      <c r="U116" s="62" t="s">
        <v>39</v>
      </c>
      <c r="V116" s="12" t="s">
        <v>152</v>
      </c>
    </row>
  </sheetData>
  <sortState ref="A16:V116">
    <sortCondition ref="B16:B116"/>
  </sortState>
  <mergeCells count="22">
    <mergeCell ref="A6:V7"/>
    <mergeCell ref="A8:V8"/>
    <mergeCell ref="A10:A14"/>
    <mergeCell ref="B10:B14"/>
    <mergeCell ref="C10:O10"/>
    <mergeCell ref="P10:P14"/>
    <mergeCell ref="Q10:Q14"/>
    <mergeCell ref="R10:R14"/>
    <mergeCell ref="S10:S14"/>
    <mergeCell ref="T10:T14"/>
    <mergeCell ref="N13:N14"/>
    <mergeCell ref="O13:O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K13:L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Резьба_Ду_15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2020-06-26T05:02:03Z</dcterms:created>
  <dcterms:modified xsi:type="dcterms:W3CDTF">2020-08-10T09:53:37Z</dcterms:modified>
</cp:coreProperties>
</file>